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drawings/drawing5.xml" ContentType="application/vnd.openxmlformats-officedocument.drawing+xml"/>
  <Override PartName="/xl/charts/chart4.xml" ContentType="application/vnd.openxmlformats-officedocument.drawingml.chart+xml"/>
  <Override PartName="/xl/drawings/drawing6.xml" ContentType="application/vnd.openxmlformats-officedocument.drawing+xml"/>
  <Override PartName="/xl/charts/chart5.xml" ContentType="application/vnd.openxmlformats-officedocument.drawingml.chart+xml"/>
  <Override PartName="/xl/drawings/drawing7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827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bloomberglp-my.sharepoint.com/personal/tsiqueira4_bloomberg_com/Documents/Desktop/master_thesis_economics/referencias/Templates xls/"/>
    </mc:Choice>
  </mc:AlternateContent>
  <xr:revisionPtr revIDLastSave="0" documentId="8_{E8E56377-F47F-4258-B435-9B9C4341EEF4}" xr6:coauthVersionLast="47" xr6:coauthVersionMax="47" xr10:uidLastSave="{00000000-0000-0000-0000-000000000000}"/>
  <bookViews>
    <workbookView xWindow="6510" yWindow="615" windowWidth="19425" windowHeight="11625" firstSheet="1" activeTab="1" xr2:uid="{00000000-000D-0000-FFFF-FFFF00000000}"/>
  </bookViews>
  <sheets>
    <sheet name="Version" sheetId="17" state="veryHidden" r:id="rId1"/>
    <sheet name="Bond" sheetId="12" r:id="rId2"/>
    <sheet name="NTN-B" sheetId="1" r:id="rId3"/>
    <sheet name="NTN-F" sheetId="4" r:id="rId4"/>
    <sheet name="NTN-C" sheetId="5" r:id="rId5"/>
    <sheet name="LFT" sheetId="6" r:id="rId6"/>
    <sheet name="LTN" sheetId="7" r:id="rId7"/>
    <sheet name="Debentures" sheetId="14" r:id="rId8"/>
    <sheet name="Ddebentures_Ratings" sheetId="16" r:id="rId9"/>
    <sheet name="Help" sheetId="13" r:id="rId10"/>
    <sheet name="RULES" sheetId="15" state="hidden" r:id="rId11"/>
  </sheets>
  <functionGroups builtInGroupCount="19"/>
  <definedNames>
    <definedName name="_xlnm._FilterDatabase" localSheetId="8" hidden="1">Ddebentures_Ratings!#REF!</definedName>
    <definedName name="_xlnm._FilterDatabase" localSheetId="7" hidden="1">Debentures!$N$8:$N$160</definedName>
    <definedName name="AMOUNT" localSheetId="1">Bond!$I$6</definedName>
    <definedName name="DES">Bond!$D$6</definedName>
    <definedName name="drop">OFFSET(Bond!$S$12,0,0,Bond!$P$10)</definedName>
    <definedName name="durB">OFFSET('NTN-B'!$AA$11,0,0,'NTN-B'!$B$10)</definedName>
    <definedName name="durC">OFFSET('NTN-C'!$AA$11,0,0,'NTN-C'!$B$10)</definedName>
    <definedName name="durF">OFFSET('NTN-F'!$AA$11,0,0,'NTN-F'!$B$10)</definedName>
    <definedName name="durLFT">OFFSET(LFT!$U$11,0,0,LFT!$B$10)</definedName>
    <definedName name="durLTN">OFFSET(LTN!$T$11,0,0,LTN!$B$10)</definedName>
    <definedName name="HLPBRD_IB">Help!$D$144:$R$147</definedName>
    <definedName name="HLPBRD_IR">Help!$S$10:$T$143</definedName>
    <definedName name="HLPBRD_OBR">Help!$U$148:$X$156</definedName>
    <definedName name="ISSUE" localSheetId="8">Ddebentures_Ratings!#REF!</definedName>
    <definedName name="ISSUE">Debentures!$AI$6</definedName>
    <definedName name="LFT" localSheetId="8">OFFSET(Bond!#REF!,0,0,Bond!#REF!)</definedName>
    <definedName name="LFT">OFFSET(Bond!#REF!,0,0,Bond!#REF!)</definedName>
    <definedName name="LTN" localSheetId="8">OFFSET(Bond!#REF!,0,0,Bond!#REF!)</definedName>
    <definedName name="LTN">OFFSET(Bond!#REF!,0,0,Bond!#REF!)</definedName>
    <definedName name="NTNB" localSheetId="8">OFFSET(Bond!$P$11,0,0,Bond!#REF!)</definedName>
    <definedName name="NTNB">OFFSET(Bond!$P$11,0,0,Bond!#REF!)</definedName>
    <definedName name="NTNC">OFFSET(Bond!XFD34,0,0,Bond!B35)</definedName>
    <definedName name="NTNF" localSheetId="8">OFFSET(Bond!#REF!,0,0,Bond!#REF!)</definedName>
    <definedName name="NTNF">OFFSET(Bond!#REF!,0,0,Bond!#REF!)</definedName>
    <definedName name="QUOTE">Bond!$P$6:$P$6</definedName>
    <definedName name="ticker" localSheetId="1">Bond!$P$8</definedName>
    <definedName name="yieldB">OFFSET('NTN-B'!$S$11,0,0,'NTN-B'!$B$10)</definedName>
    <definedName name="yieldC">OFFSET('NTN-C'!$S$11,0,0,'NTN-C'!$B$10)</definedName>
    <definedName name="yieldF">OFFSET('NTN-F'!$S$11,0,0,'NTN-F'!$B$10)</definedName>
    <definedName name="yieldLFT">OFFSET(LFT!$N$11,0,0,LFT!$B$10)</definedName>
    <definedName name="yieldLTN">OFFSET(LTN!$N$11,0,0,LTN!$B$10)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A93" i="14" l="1" a="1"/>
  <c r="Y96" i="14" a="1"/>
  <c r="Z96" i="14" a="1"/>
  <c r="Z93" i="14" a="1"/>
  <c r="X96" i="14" a="1"/>
  <c r="AA96" i="14" a="1"/>
  <c r="X93" i="14" a="1"/>
  <c r="AA105" i="14" a="1"/>
  <c r="Z105" i="14" a="1"/>
  <c r="Z107" i="14" a="1"/>
  <c r="X107" i="14" a="1"/>
  <c r="Y93" i="14" a="1"/>
  <c r="X105" i="14" a="1"/>
  <c r="Y107" i="14" a="1"/>
  <c r="AA107" i="14" a="1"/>
  <c r="Y105" i="14" a="1"/>
  <c r="J33" i="14" a="1"/>
  <c r="J54" i="14" a="1"/>
  <c r="J91" i="14" a="1"/>
  <c r="J16" i="14" a="1"/>
  <c r="J90" i="14" a="1"/>
  <c r="P26" i="6" a="1"/>
  <c r="J23" i="14" a="1"/>
  <c r="Y105" i="14" l="1"/>
  <c r="AA107" i="14"/>
  <c r="Y107" i="14"/>
  <c r="X105" i="14"/>
  <c r="Y93" i="14"/>
  <c r="X107" i="14"/>
  <c r="Z107" i="14"/>
  <c r="Z105" i="14"/>
  <c r="AA105" i="14"/>
  <c r="X93" i="14"/>
  <c r="AA96" i="14"/>
  <c r="X96" i="14"/>
  <c r="Z93" i="14"/>
  <c r="Z96" i="14"/>
  <c r="Y96" i="14"/>
  <c r="AA93" i="14"/>
  <c r="J23" i="14"/>
  <c r="P26" i="6"/>
  <c r="J90" i="14"/>
  <c r="J16" i="14"/>
  <c r="J91" i="14"/>
  <c r="J54" i="14"/>
  <c r="J33" i="14"/>
  <c r="AN13" i="5" l="1" a="1"/>
  <c r="AN13" i="5" s="1"/>
  <c r="AO13" i="5" a="1"/>
  <c r="AO13" i="5" s="1"/>
  <c r="AD16" i="4" a="1"/>
  <c r="AD16" i="4" s="1"/>
  <c r="AE16" i="4" a="1"/>
  <c r="AE16" i="4"/>
  <c r="AO25" i="1" a="1"/>
  <c r="AO25" i="1"/>
  <c r="AN25" i="1" a="1"/>
  <c r="AN25" i="1"/>
  <c r="AO24" i="1" a="1"/>
  <c r="AO24" i="1"/>
  <c r="AN24" i="1" a="1"/>
  <c r="AN24" i="1" s="1"/>
  <c r="K13" i="5" a="1"/>
  <c r="K13" i="5" s="1"/>
  <c r="K25" i="1" a="1"/>
  <c r="K25" i="1"/>
  <c r="K24" i="1" a="1"/>
  <c r="K24" i="1"/>
  <c r="K16" i="4" a="1"/>
  <c r="K16" i="4" s="1"/>
  <c r="B9" i="16" a="1"/>
  <c r="B158" i="16" s="1"/>
  <c r="AU160" i="14"/>
  <c r="AT160" i="14"/>
  <c r="AS160" i="14"/>
  <c r="AR160" i="14"/>
  <c r="AQ160" i="14"/>
  <c r="AP160" i="14"/>
  <c r="AO160" i="14"/>
  <c r="AN160" i="14"/>
  <c r="AM160" i="14"/>
  <c r="AL160" i="14"/>
  <c r="AK160" i="14"/>
  <c r="AI160" i="14" a="1"/>
  <c r="AI160" i="14" s="1"/>
  <c r="AH160" i="14"/>
  <c r="AF160" i="14"/>
  <c r="AE160" i="14"/>
  <c r="AD160" i="14"/>
  <c r="AC160" i="14" s="1"/>
  <c r="AB160" i="14"/>
  <c r="AA160" i="14"/>
  <c r="Z160" i="14"/>
  <c r="Y160" i="14"/>
  <c r="X160" i="14"/>
  <c r="V160" i="14"/>
  <c r="U160" i="14"/>
  <c r="U23" i="1" a="1"/>
  <c r="P24" i="6" a="1"/>
  <c r="P25" i="6" a="1"/>
  <c r="U17" i="1" a="1"/>
  <c r="P21" i="6" a="1"/>
  <c r="U12" i="1" a="1"/>
  <c r="P20" i="6" a="1"/>
  <c r="P22" i="6" a="1"/>
  <c r="U13" i="1" a="1"/>
  <c r="P23" i="6" a="1"/>
  <c r="P19" i="6" a="1"/>
  <c r="U14" i="1" a="1"/>
  <c r="U16" i="1" a="1"/>
  <c r="T49" i="14" a="1"/>
  <c r="P16" i="6" a="1"/>
  <c r="AH14" i="14"/>
  <c r="P18" i="6" a="1"/>
  <c r="P17" i="6" a="1"/>
  <c r="T14" i="14" a="1"/>
  <c r="P15" i="6" a="1"/>
  <c r="P12" i="6" a="1"/>
  <c r="V37" i="14" a="1"/>
  <c r="J55" i="14" a="1"/>
  <c r="P13" i="6" a="1"/>
  <c r="T59" i="14" a="1"/>
  <c r="P14" i="6" a="1"/>
  <c r="T102" i="14" a="1"/>
  <c r="T22" i="14" a="1"/>
  <c r="AH97" i="14"/>
  <c r="T34" i="14" a="1"/>
  <c r="AH22" i="14"/>
  <c r="AH102" i="14"/>
  <c r="T97" i="14" a="1"/>
  <c r="AH59" i="14"/>
  <c r="T62" i="14" a="1"/>
  <c r="P24" i="7" a="1"/>
  <c r="AH62" i="14"/>
  <c r="P18" i="7" a="1"/>
  <c r="AH34" i="14"/>
  <c r="AH49" i="14"/>
  <c r="AH19" i="14"/>
  <c r="P21" i="7" a="1"/>
  <c r="P14" i="7" a="1"/>
  <c r="AE14" i="14" a="1"/>
  <c r="P22" i="7" a="1"/>
  <c r="T19" i="14" a="1"/>
  <c r="P13" i="7" a="1"/>
  <c r="AE59" i="14" a="1"/>
  <c r="AH24" i="14"/>
  <c r="AE97" i="14" a="1"/>
  <c r="AE102" i="14" a="1"/>
  <c r="AE22" i="14" a="1"/>
  <c r="P16" i="7" a="1"/>
  <c r="AE49" i="14" a="1"/>
  <c r="P17" i="7" a="1"/>
  <c r="P15" i="7" a="1"/>
  <c r="T103" i="14" a="1"/>
  <c r="AH42" i="14"/>
  <c r="T43" i="14" a="1"/>
  <c r="T73" i="14" a="1"/>
  <c r="T60" i="14" a="1"/>
  <c r="T76" i="14" a="1"/>
  <c r="N96" i="14" a="1"/>
  <c r="T83" i="14" a="1"/>
  <c r="T70" i="14" a="1"/>
  <c r="U22" i="1" a="1"/>
  <c r="T57" i="14" a="1"/>
  <c r="T82" i="14" a="1"/>
  <c r="U15" i="4" a="1"/>
  <c r="U11" i="1" a="1"/>
  <c r="U11" i="5" a="1"/>
  <c r="P23" i="7" a="1"/>
  <c r="U14" i="4" a="1"/>
  <c r="P11" i="6" a="1"/>
  <c r="U13" i="4" a="1"/>
  <c r="U12" i="4" a="1"/>
  <c r="T61" i="14" a="1"/>
  <c r="P19" i="7" a="1"/>
  <c r="P25" i="7" a="1"/>
  <c r="T96" i="14" a="1"/>
  <c r="P12" i="7" a="1"/>
  <c r="P20" i="7" a="1"/>
  <c r="T18" i="14" a="1"/>
  <c r="P11" i="7" a="1"/>
  <c r="T56" i="14" a="1"/>
  <c r="T26" i="14" a="1"/>
  <c r="AH56" i="14"/>
  <c r="T13" i="14" a="1"/>
  <c r="T16" i="14" a="1"/>
  <c r="T75" i="14" a="1"/>
  <c r="T65" i="14" a="1"/>
  <c r="AH57" i="14"/>
  <c r="AH18" i="14"/>
  <c r="T42" i="14" a="1"/>
  <c r="T24" i="14" a="1"/>
  <c r="AH16" i="14"/>
  <c r="T32" i="14" a="1"/>
  <c r="J24" i="14" a="1"/>
  <c r="J32" i="14" a="1"/>
  <c r="AH60" i="14"/>
  <c r="AH43" i="14"/>
  <c r="J19" i="14" a="1"/>
  <c r="J82" i="14" a="1"/>
  <c r="J60" i="14" a="1"/>
  <c r="J83" i="14" a="1"/>
  <c r="J43" i="14" a="1"/>
  <c r="J22" i="14" a="1"/>
  <c r="J49" i="14" a="1"/>
  <c r="J75" i="14" a="1"/>
  <c r="AE24" i="14" a="1"/>
  <c r="AE32" i="14" a="1"/>
  <c r="J18" i="14" a="1"/>
  <c r="AE34" i="14" a="1"/>
  <c r="J65" i="14" a="1"/>
  <c r="J73" i="14" a="1"/>
  <c r="J26" i="14" a="1"/>
  <c r="J102" i="14" a="1"/>
  <c r="AH26" i="14"/>
  <c r="AH13" i="14"/>
  <c r="AH61" i="14"/>
  <c r="I30" i="16" a="1"/>
  <c r="J30" i="16" a="1"/>
  <c r="L16" i="16" a="1"/>
  <c r="L14" i="16" a="1"/>
  <c r="K41" i="16" a="1"/>
  <c r="L17" i="16" a="1"/>
  <c r="K14" i="16" a="1"/>
  <c r="I41" i="16" a="1"/>
  <c r="J17" i="16" a="1"/>
  <c r="K17" i="16" a="1"/>
  <c r="AH73" i="14"/>
  <c r="J14" i="16" a="1"/>
  <c r="J16" i="16" a="1"/>
  <c r="I17" i="16" a="1"/>
  <c r="K16" i="16" a="1"/>
  <c r="I16" i="16" a="1"/>
  <c r="K30" i="16" a="1"/>
  <c r="I14" i="16" a="1"/>
  <c r="AH32" i="14"/>
  <c r="AH75" i="14"/>
  <c r="L41" i="16" a="1"/>
  <c r="L30" i="16" a="1"/>
  <c r="J41" i="16" a="1"/>
  <c r="AE62" i="14" a="1"/>
  <c r="AE61" i="14" a="1"/>
  <c r="AE96" i="14" a="1"/>
  <c r="AH103" i="14"/>
  <c r="AE18" i="14" a="1"/>
  <c r="AE19" i="14" a="1"/>
  <c r="AH65" i="14"/>
  <c r="AH83" i="14"/>
  <c r="AH76" i="14"/>
  <c r="AH70" i="14"/>
  <c r="AE57" i="14" a="1"/>
  <c r="AE56" i="14" a="1"/>
  <c r="AE103" i="14" a="1"/>
  <c r="AI49" i="14" a="1"/>
  <c r="AI22" i="14" a="1"/>
  <c r="AE83" i="14" a="1"/>
  <c r="AI102" i="14" a="1"/>
  <c r="AE43" i="14" a="1"/>
  <c r="AE73" i="14" a="1"/>
  <c r="AE42" i="14" a="1"/>
  <c r="AE76" i="14" a="1"/>
  <c r="V96" i="14" a="1"/>
  <c r="AE65" i="14" a="1"/>
  <c r="AE70" i="14" a="1"/>
  <c r="T110" i="14" a="1"/>
  <c r="AE82" i="14" a="1"/>
  <c r="AE13" i="14" a="1"/>
  <c r="AE60" i="14" a="1"/>
  <c r="AE75" i="14" a="1"/>
  <c r="T109" i="14" a="1"/>
  <c r="AE16" i="14" a="1"/>
  <c r="AE26" i="14" a="1"/>
  <c r="T91" i="14" a="1"/>
  <c r="T90" i="14" a="1"/>
  <c r="T105" i="14" a="1"/>
  <c r="AI13" i="14" a="1"/>
  <c r="T107" i="14" a="1"/>
  <c r="T93" i="14" a="1"/>
  <c r="AI16" i="14" a="1"/>
  <c r="T88" i="14" a="1"/>
  <c r="T84" i="14" a="1"/>
  <c r="AI18" i="14" a="1"/>
  <c r="AI83" i="14" a="1"/>
  <c r="T74" i="14" a="1"/>
  <c r="AI43" i="14" a="1"/>
  <c r="AI19" i="14" a="1"/>
  <c r="AI76" i="14" a="1"/>
  <c r="U18" i="1" a="1"/>
  <c r="U21" i="1" a="1"/>
  <c r="AI82" i="14" a="1"/>
  <c r="T79" i="14" a="1"/>
  <c r="AI96" i="14" a="1"/>
  <c r="AI73" i="14" a="1"/>
  <c r="AI65" i="14" a="1"/>
  <c r="T87" i="14" a="1"/>
  <c r="U20" i="1" a="1"/>
  <c r="T78" i="14" a="1"/>
  <c r="T108" i="14" a="1"/>
  <c r="T26" i="6" a="1"/>
  <c r="W26" i="6" a="1"/>
  <c r="U26" i="6" a="1"/>
  <c r="T92" i="14" a="1"/>
  <c r="V26" i="6" a="1"/>
  <c r="U19" i="1" a="1"/>
  <c r="N26" i="6" a="1"/>
  <c r="S26" i="6" a="1"/>
  <c r="T68" i="14" a="1"/>
  <c r="T53" i="14" a="1"/>
  <c r="U15" i="1" a="1"/>
  <c r="T52" i="14" a="1"/>
  <c r="T54" i="14" a="1"/>
  <c r="T55" i="14" a="1"/>
  <c r="T72" i="14" a="1"/>
  <c r="T41" i="14" a="1"/>
  <c r="T80" i="14" a="1"/>
  <c r="T89" i="14" a="1"/>
  <c r="T29" i="14" a="1"/>
  <c r="T47" i="14" a="1"/>
  <c r="T46" i="14" a="1"/>
  <c r="T39" i="14" a="1"/>
  <c r="T48" i="14" a="1"/>
  <c r="T27" i="14" a="1"/>
  <c r="T77" i="14" a="1"/>
  <c r="T31" i="14" a="1"/>
  <c r="T23" i="14" a="1"/>
  <c r="T33" i="14" a="1"/>
  <c r="T58" i="14" a="1"/>
  <c r="T86" i="14" a="1"/>
  <c r="T67" i="14" a="1"/>
  <c r="T64" i="14" a="1"/>
  <c r="T11" i="14" a="1"/>
  <c r="T21" i="14" a="1"/>
  <c r="T50" i="14" a="1"/>
  <c r="AH25" i="14"/>
  <c r="T35" i="14" a="1"/>
  <c r="T12" i="14" a="1"/>
  <c r="T25" i="14" a="1"/>
  <c r="T20" i="14" a="1"/>
  <c r="AH38" i="14"/>
  <c r="AH29" i="14"/>
  <c r="AH33" i="14"/>
  <c r="AH27" i="14"/>
  <c r="AH20" i="14"/>
  <c r="T51" i="14" a="1"/>
  <c r="AH21" i="14"/>
  <c r="AH50" i="14"/>
  <c r="AH35" i="14"/>
  <c r="T40" i="14" a="1"/>
  <c r="AE52" i="14" a="1"/>
  <c r="AE53" i="14" a="1"/>
  <c r="AE48" i="14" a="1"/>
  <c r="AE50" i="14" a="1"/>
  <c r="AE51" i="14" a="1"/>
  <c r="AH54" i="14"/>
  <c r="AH41" i="14"/>
  <c r="AH58" i="14"/>
  <c r="AH52" i="14"/>
  <c r="AH109" i="14"/>
  <c r="AH47" i="14"/>
  <c r="AH90" i="14"/>
  <c r="AH46" i="14"/>
  <c r="AH87" i="14"/>
  <c r="AH55" i="14"/>
  <c r="AH79" i="14"/>
  <c r="AH84" i="14"/>
  <c r="AH74" i="14"/>
  <c r="AH80" i="14"/>
  <c r="AH107" i="14"/>
  <c r="AH93" i="14"/>
  <c r="AH64" i="14"/>
  <c r="AH89" i="14"/>
  <c r="AH77" i="14"/>
  <c r="AH86" i="14"/>
  <c r="AH40" i="14"/>
  <c r="AH110" i="14"/>
  <c r="AH68" i="14"/>
  <c r="AH51" i="14"/>
  <c r="AH78" i="14"/>
  <c r="AH105" i="14"/>
  <c r="AH67" i="14"/>
  <c r="AH53" i="14"/>
  <c r="AH72" i="14"/>
  <c r="V93" i="14" a="1"/>
  <c r="AH39" i="14"/>
  <c r="AE93" i="14" a="1"/>
  <c r="AH91" i="14"/>
  <c r="V40" i="14" a="1"/>
  <c r="V105" i="14" a="1"/>
  <c r="V107" i="14" a="1"/>
  <c r="AE109" i="14" a="1"/>
  <c r="N107" i="14" a="1"/>
  <c r="N105" i="14" a="1"/>
  <c r="N93" i="14" a="1"/>
  <c r="N37" i="14" a="1"/>
  <c r="N40" i="14" a="1"/>
  <c r="AE68" i="14" a="1"/>
  <c r="AE88" i="14" a="1"/>
  <c r="AH108" i="14"/>
  <c r="AE67" i="14" a="1"/>
  <c r="AE58" i="14" a="1"/>
  <c r="AE64" i="14" a="1"/>
  <c r="AE80" i="14" a="1"/>
  <c r="AE23" i="14" a="1"/>
  <c r="AE12" i="14" a="1"/>
  <c r="T99" i="14" a="1"/>
  <c r="T100" i="14" a="1"/>
  <c r="AE92" i="14" a="1"/>
  <c r="T98" i="14" a="1"/>
  <c r="AE87" i="14" a="1"/>
  <c r="AE72" i="14" a="1"/>
  <c r="AE74" i="14" a="1"/>
  <c r="AE40" i="14" a="1"/>
  <c r="AE20" i="14" a="1"/>
  <c r="AE90" i="14" a="1"/>
  <c r="AE91" i="14" a="1"/>
  <c r="AE84" i="14" a="1"/>
  <c r="AE27" i="14" a="1"/>
  <c r="AE77" i="14" a="1"/>
  <c r="AE78" i="14" a="1"/>
  <c r="AE110" i="14" a="1"/>
  <c r="AE11" i="14" a="1"/>
  <c r="AE33" i="14" a="1"/>
  <c r="S23" i="1" a="1"/>
  <c r="S12" i="1" a="1"/>
  <c r="AE54" i="14" a="1"/>
  <c r="AE89" i="14" a="1"/>
  <c r="S16" i="1" a="1"/>
  <c r="S13" i="1" a="1"/>
  <c r="AE55" i="14" a="1"/>
  <c r="S17" i="1" a="1"/>
  <c r="S14" i="1" a="1"/>
  <c r="T104" i="14" a="1"/>
  <c r="AE66" i="14" a="1"/>
  <c r="AE108" i="14" a="1"/>
  <c r="AE71" i="14" a="1"/>
  <c r="T85" i="14" a="1"/>
  <c r="AE79" i="14" a="1"/>
  <c r="T94" i="14" a="1"/>
  <c r="T38" i="14" a="1"/>
  <c r="AA17" i="1" a="1"/>
  <c r="AC16" i="1" a="1"/>
  <c r="AC13" i="1" a="1"/>
  <c r="AA12" i="1" a="1"/>
  <c r="T106" i="14" a="1"/>
  <c r="G17" i="1"/>
  <c r="R14" i="1" a="1"/>
  <c r="AA14" i="1" a="1"/>
  <c r="AB23" i="1" a="1"/>
  <c r="G16" i="1"/>
  <c r="R13" i="1" a="1"/>
  <c r="AC23" i="1" a="1"/>
  <c r="Z13" i="1" a="1"/>
  <c r="T45" i="14" a="1"/>
  <c r="AB17" i="1" a="1"/>
  <c r="G13" i="1"/>
  <c r="Z17" i="1" a="1"/>
  <c r="AA13" i="1" a="1"/>
  <c r="Z16" i="1" a="1"/>
  <c r="R17" i="1" a="1"/>
  <c r="R23" i="1" a="1"/>
  <c r="AE86" i="14" a="1"/>
  <c r="AB13" i="1" a="1"/>
  <c r="AC14" i="1" a="1"/>
  <c r="Z23" i="1" a="1"/>
  <c r="AC12" i="1" a="1"/>
  <c r="AE21" i="14" a="1"/>
  <c r="AA23" i="1" a="1"/>
  <c r="AB16" i="1" a="1"/>
  <c r="R16" i="1" a="1"/>
  <c r="AC17" i="1" a="1"/>
  <c r="AH99" i="14"/>
  <c r="AH98" i="14"/>
  <c r="AH100" i="14"/>
  <c r="Z12" i="1" a="1"/>
  <c r="G14" i="1"/>
  <c r="G23" i="1"/>
  <c r="G12" i="1"/>
  <c r="T101" i="14" a="1"/>
  <c r="R12" i="1" a="1"/>
  <c r="AB12" i="1" a="1"/>
  <c r="AA16" i="1" a="1"/>
  <c r="AB14" i="1" a="1"/>
  <c r="Z14" i="1" a="1"/>
  <c r="T20" i="6" a="1"/>
  <c r="V16" i="6" a="1"/>
  <c r="V17" i="6" a="1"/>
  <c r="N25" i="6" a="1"/>
  <c r="W17" i="6" a="1"/>
  <c r="T17" i="6" a="1"/>
  <c r="AH85" i="14"/>
  <c r="S15" i="6" a="1"/>
  <c r="V22" i="6" a="1"/>
  <c r="S25" i="6" a="1"/>
  <c r="T21" i="6" a="1"/>
  <c r="U16" i="6" a="1"/>
  <c r="T19" i="6" a="1"/>
  <c r="V25" i="6" a="1"/>
  <c r="S18" i="6" a="1"/>
  <c r="S24" i="6" a="1"/>
  <c r="U18" i="6" a="1"/>
  <c r="W25" i="6" a="1"/>
  <c r="W12" i="6" a="1"/>
  <c r="V19" i="6" a="1"/>
  <c r="U23" i="6" a="1"/>
  <c r="T14" i="6" a="1"/>
  <c r="N15" i="6" a="1"/>
  <c r="U24" i="6" a="1"/>
  <c r="N17" i="6" a="1"/>
  <c r="W22" i="6" a="1"/>
  <c r="W21" i="6" a="1"/>
  <c r="S22" i="6" a="1"/>
  <c r="T18" i="6" a="1"/>
  <c r="S12" i="6" a="1"/>
  <c r="V21" i="6" a="1"/>
  <c r="W15" i="6" a="1"/>
  <c r="N14" i="6" a="1"/>
  <c r="N12" i="6" a="1"/>
  <c r="U21" i="6" a="1"/>
  <c r="S16" i="6" a="1"/>
  <c r="T23" i="6" a="1"/>
  <c r="N13" i="6" a="1"/>
  <c r="V18" i="6" a="1"/>
  <c r="W24" i="6" a="1"/>
  <c r="U20" i="6" a="1"/>
  <c r="T25" i="6" a="1"/>
  <c r="N20" i="6" a="1"/>
  <c r="T24" i="6" a="1"/>
  <c r="S21" i="6" a="1"/>
  <c r="W23" i="6" a="1"/>
  <c r="N19" i="6" a="1"/>
  <c r="W13" i="6" a="1"/>
  <c r="V20" i="6" a="1"/>
  <c r="W18" i="6" a="1"/>
  <c r="W16" i="6" a="1"/>
  <c r="T12" i="6" a="1"/>
  <c r="N18" i="6" a="1"/>
  <c r="U15" i="6" a="1"/>
  <c r="N22" i="6" a="1"/>
  <c r="V13" i="6" a="1"/>
  <c r="V14" i="6" a="1"/>
  <c r="S17" i="6" a="1"/>
  <c r="S23" i="6" a="1"/>
  <c r="U12" i="6" a="1"/>
  <c r="N16" i="6" a="1"/>
  <c r="T22" i="6" a="1"/>
  <c r="W20" i="6" a="1"/>
  <c r="W19" i="6" a="1"/>
  <c r="U14" i="6" a="1"/>
  <c r="V15" i="6" a="1"/>
  <c r="U19" i="6" a="1"/>
  <c r="U22" i="6" a="1"/>
  <c r="T15" i="6" a="1"/>
  <c r="U17" i="6" a="1"/>
  <c r="W14" i="6" a="1"/>
  <c r="U25" i="6" a="1"/>
  <c r="T69" i="14" a="1"/>
  <c r="V24" i="6" a="1"/>
  <c r="N23" i="6" a="1"/>
  <c r="T16" i="6" a="1"/>
  <c r="U13" i="6" a="1"/>
  <c r="N21" i="6" a="1"/>
  <c r="V23" i="6" a="1"/>
  <c r="V12" i="6" a="1"/>
  <c r="S13" i="6" a="1"/>
  <c r="S14" i="6" a="1"/>
  <c r="T13" i="6" a="1"/>
  <c r="S20" i="6" a="1"/>
  <c r="S19" i="6" a="1"/>
  <c r="N24" i="6" a="1"/>
  <c r="T28" i="14" a="1"/>
  <c r="AH15" i="14"/>
  <c r="T95" i="14" a="1"/>
  <c r="T30" i="14" a="1"/>
  <c r="AH69" i="14"/>
  <c r="AE99" i="14" a="1"/>
  <c r="T15" i="14" a="1"/>
  <c r="AE100" i="14" a="1"/>
  <c r="AE98" i="14" a="1"/>
  <c r="T63" i="14" a="1"/>
  <c r="AE35" i="14" a="1"/>
  <c r="AE30" i="14" a="1"/>
  <c r="AE25" i="14" a="1"/>
  <c r="AE31" i="14" a="1"/>
  <c r="T36" i="14" a="1"/>
  <c r="T81" i="14" a="1"/>
  <c r="AH17" i="14"/>
  <c r="AH28" i="14"/>
  <c r="AE29" i="14" a="1"/>
  <c r="T17" i="14" a="1"/>
  <c r="AE107" i="14" a="1"/>
  <c r="AE104" i="14" a="1"/>
  <c r="AE105" i="14" a="1"/>
  <c r="AH81" i="14"/>
  <c r="AH30" i="14"/>
  <c r="J94" i="14" a="1"/>
  <c r="J46" i="14" a="1"/>
  <c r="J28" i="14" a="1"/>
  <c r="J37" i="14" a="1"/>
  <c r="J108" i="14" a="1"/>
  <c r="J31" i="14" a="1"/>
  <c r="J79" i="14" a="1"/>
  <c r="J78" i="14" a="1"/>
  <c r="J45" i="14" a="1"/>
  <c r="AH36" i="14"/>
  <c r="AH45" i="14"/>
  <c r="AE38" i="14" a="1"/>
  <c r="AE45" i="14" a="1"/>
  <c r="AE39" i="14" a="1"/>
  <c r="AE47" i="14" a="1"/>
  <c r="J51" i="14" a="1"/>
  <c r="AH71" i="14"/>
  <c r="J48" i="14" a="1"/>
  <c r="J87" i="14" a="1"/>
  <c r="J81" i="14" a="1"/>
  <c r="J39" i="14" a="1"/>
  <c r="J53" i="14" a="1"/>
  <c r="J66" i="14" a="1"/>
  <c r="J20" i="14" a="1"/>
  <c r="J21" i="14" a="1"/>
  <c r="J86" i="14" a="1"/>
  <c r="J84" i="14" a="1"/>
  <c r="T44" i="14" a="1"/>
  <c r="J41" i="14" a="1"/>
  <c r="J29" i="14" a="1"/>
  <c r="AH95" i="14"/>
  <c r="AH106" i="14"/>
  <c r="J67" i="14" a="1"/>
  <c r="J101" i="14" a="1"/>
  <c r="J68" i="14" a="1"/>
  <c r="T37" i="14" a="1"/>
  <c r="AH37" i="14"/>
  <c r="AH44" i="14"/>
  <c r="AH104" i="14"/>
  <c r="AH101" i="14"/>
  <c r="AE46" i="14" a="1"/>
  <c r="X19" i="7" a="1"/>
  <c r="X22" i="7" a="1"/>
  <c r="AE41" i="14" a="1"/>
  <c r="W19" i="7" a="1"/>
  <c r="AE13" i="4" a="1"/>
  <c r="AN16" i="1" a="1"/>
  <c r="AE95" i="14" a="1"/>
  <c r="W12" i="7" a="1"/>
  <c r="AE44" i="14" a="1"/>
  <c r="AD13" i="4" a="1"/>
  <c r="AD14" i="4" a="1"/>
  <c r="AE85" i="14" a="1"/>
  <c r="W22" i="7" a="1"/>
  <c r="AE14" i="4" a="1"/>
  <c r="AO16" i="1" a="1"/>
  <c r="X18" i="7" a="1"/>
  <c r="X25" i="7" a="1"/>
  <c r="X12" i="7" a="1"/>
  <c r="W25" i="7" a="1"/>
  <c r="W18" i="7" a="1"/>
  <c r="L78" i="16" a="1"/>
  <c r="L34" i="16" a="1"/>
  <c r="L11" i="16" a="1"/>
  <c r="J13" i="16" a="1"/>
  <c r="AI12" i="14" a="1"/>
  <c r="AI78" i="14" a="1"/>
  <c r="I93" i="16" a="1"/>
  <c r="K104" i="16" a="1"/>
  <c r="L62" i="16" a="1"/>
  <c r="J108" i="16" a="1"/>
  <c r="J81" i="16" a="1"/>
  <c r="K92" i="16" a="1"/>
  <c r="I62" i="16" a="1"/>
  <c r="L104" i="16" a="1"/>
  <c r="J49" i="16" a="1"/>
  <c r="I90" i="16" a="1"/>
  <c r="K48" i="16" a="1"/>
  <c r="J42" i="16" a="1"/>
  <c r="J98" i="16" a="1"/>
  <c r="K96" i="16" a="1"/>
  <c r="K58" i="16" a="1"/>
  <c r="J58" i="16" a="1"/>
  <c r="I59" i="16" a="1"/>
  <c r="I15" i="16" a="1"/>
  <c r="AE15" i="14" a="1"/>
  <c r="AI89" i="14" a="1"/>
  <c r="I29" i="16" a="1"/>
  <c r="AI88" i="14" a="1"/>
  <c r="AN23" i="1" a="1"/>
  <c r="AO23" i="1" a="1"/>
  <c r="I60" i="16" a="1"/>
  <c r="J87" i="16" a="1"/>
  <c r="L39" i="16" a="1"/>
  <c r="I78" i="16" a="1"/>
  <c r="I23" i="16" a="1"/>
  <c r="J78" i="16" a="1"/>
  <c r="J74" i="16" a="1"/>
  <c r="J43" i="16" a="1"/>
  <c r="I63" i="16" a="1"/>
  <c r="K82" i="16" a="1"/>
  <c r="AI23" i="14" a="1"/>
  <c r="I21" i="16" a="1"/>
  <c r="L99" i="16" a="1"/>
  <c r="I35" i="16" a="1"/>
  <c r="L90" i="16" a="1"/>
  <c r="K52" i="16" a="1"/>
  <c r="AI92" i="14" a="1"/>
  <c r="J18" i="16" a="1"/>
  <c r="I102" i="16" a="1"/>
  <c r="L69" i="16" a="1"/>
  <c r="J68" i="16" a="1"/>
  <c r="I69" i="16" a="1"/>
  <c r="L37" i="16" a="1"/>
  <c r="I9" i="16" a="1"/>
  <c r="L35" i="16" a="1"/>
  <c r="L51" i="16" a="1"/>
  <c r="L25" i="16" a="1"/>
  <c r="K67" i="16" a="1"/>
  <c r="AE28" i="14" a="1"/>
  <c r="I92" i="16" a="1"/>
  <c r="L108" i="16" a="1"/>
  <c r="I83" i="16" a="1"/>
  <c r="K81" i="16" a="1"/>
  <c r="I53" i="16" a="1"/>
  <c r="K21" i="16" a="1"/>
  <c r="K106" i="16" a="1"/>
  <c r="J66" i="16" a="1"/>
  <c r="AI90" i="14" a="1"/>
  <c r="I101" i="16" a="1"/>
  <c r="I58" i="16" a="1"/>
  <c r="L68" i="16" a="1"/>
  <c r="I68" i="16" a="1"/>
  <c r="L67" i="16" a="1"/>
  <c r="L103" i="16" a="1"/>
  <c r="AE81" i="14" a="1"/>
  <c r="I81" i="16" a="1"/>
  <c r="K66" i="16" a="1"/>
  <c r="AE94" i="14" a="1"/>
  <c r="L102" i="16" a="1"/>
  <c r="AI93" i="14" a="1"/>
  <c r="K64" i="16" a="1"/>
  <c r="L24" i="16" a="1"/>
  <c r="L48" i="16" a="1"/>
  <c r="I105" i="16" a="1"/>
  <c r="J37" i="16" a="1"/>
  <c r="AN20" i="1" a="1"/>
  <c r="AO20" i="1" a="1"/>
  <c r="I11" i="16" a="1"/>
  <c r="J86" i="16" a="1"/>
  <c r="K87" i="16" a="1"/>
  <c r="K75" i="16" a="1"/>
  <c r="I22" i="16" a="1"/>
  <c r="K63" i="16" a="1"/>
  <c r="L87" i="16" a="1"/>
  <c r="J73" i="16" a="1"/>
  <c r="K94" i="16" a="1"/>
  <c r="J36" i="16" a="1"/>
  <c r="I61" i="16" a="1"/>
  <c r="L100" i="16" a="1"/>
  <c r="K40" i="16" a="1"/>
  <c r="J12" i="16" a="1"/>
  <c r="AI11" i="14" a="1"/>
  <c r="AI79" i="14" a="1"/>
  <c r="I77" i="16" a="1"/>
  <c r="I107" i="16" a="1"/>
  <c r="I108" i="16" a="1"/>
  <c r="J71" i="16" a="1"/>
  <c r="L93" i="16" a="1"/>
  <c r="I106" i="16" a="1"/>
  <c r="J97" i="16" a="1"/>
  <c r="L66" i="16" a="1"/>
  <c r="J90" i="16" a="1"/>
  <c r="L53" i="16" a="1"/>
  <c r="K31" i="16" a="1"/>
  <c r="K25" i="16" a="1"/>
  <c r="J25" i="16" a="1"/>
  <c r="K105" i="16" a="1"/>
  <c r="J64" i="16" a="1"/>
  <c r="J38" i="16" a="1"/>
  <c r="AE37" i="14" a="1"/>
  <c r="I19" i="16" a="1"/>
  <c r="I104" i="16" a="1"/>
  <c r="I71" i="16" a="1"/>
  <c r="L9" i="16" a="1"/>
  <c r="I52" i="16" a="1"/>
  <c r="J72" i="16" a="1"/>
  <c r="L72" i="16" a="1"/>
  <c r="I42" i="16" a="1"/>
  <c r="K24" i="16" a="1"/>
  <c r="I25" i="16" a="1"/>
  <c r="J33" i="16" a="1"/>
  <c r="I64" i="16" a="1"/>
  <c r="K69" i="16" a="1"/>
  <c r="J104" i="16" a="1"/>
  <c r="J19" i="16" a="1"/>
  <c r="J31" i="16" a="1"/>
  <c r="I100" i="16" a="1"/>
  <c r="K86" i="16" a="1"/>
  <c r="K74" i="16" a="1"/>
  <c r="K76" i="16" a="1"/>
  <c r="K61" i="16" a="1"/>
  <c r="L86" i="16" a="1"/>
  <c r="J65" i="16" a="1"/>
  <c r="K13" i="16" a="1"/>
  <c r="J23" i="16" a="1"/>
  <c r="I20" i="16" a="1"/>
  <c r="K80" i="16" a="1"/>
  <c r="K39" i="16" a="1"/>
  <c r="K43" i="16" a="1"/>
  <c r="AE106" i="14" a="1"/>
  <c r="AI40" i="14" a="1"/>
  <c r="AI84" i="14" a="1"/>
  <c r="J83" i="16" a="1"/>
  <c r="K77" i="16" a="1"/>
  <c r="J10" i="16" a="1"/>
  <c r="L92" i="16" a="1"/>
  <c r="L42" i="16" a="1"/>
  <c r="J96" i="16" a="1"/>
  <c r="J21" i="16" a="1"/>
  <c r="J53" i="16" a="1"/>
  <c r="K103" i="16" a="1"/>
  <c r="J44" i="16" a="1"/>
  <c r="K89" i="16" a="1"/>
  <c r="L59" i="16" a="1"/>
  <c r="I70" i="16" a="1"/>
  <c r="I99" i="16" a="1"/>
  <c r="L38" i="16" a="1"/>
  <c r="L29" i="16" a="1"/>
  <c r="J105" i="16" a="1"/>
  <c r="J84" i="16" a="1"/>
  <c r="L52" i="16" a="1"/>
  <c r="J24" i="16" a="1"/>
  <c r="L64" i="16" a="1"/>
  <c r="K10" i="16" a="1"/>
  <c r="K26" i="16" a="1"/>
  <c r="L23" i="16" a="1"/>
  <c r="K84" i="16" a="1"/>
  <c r="K73" i="16" a="1"/>
  <c r="K20" i="16" a="1"/>
  <c r="L84" i="16" a="1"/>
  <c r="J60" i="16" a="1"/>
  <c r="J22" i="16" a="1"/>
  <c r="K79" i="16" a="1"/>
  <c r="J34" i="16" a="1"/>
  <c r="AI68" i="14" a="1"/>
  <c r="J26" i="16" a="1"/>
  <c r="J77" i="16" a="1"/>
  <c r="L81" i="16" a="1"/>
  <c r="I31" i="16" a="1"/>
  <c r="J70" i="16" a="1"/>
  <c r="I28" i="16" a="1"/>
  <c r="I72" i="16" a="1"/>
  <c r="J52" i="16" a="1"/>
  <c r="L31" i="16" a="1"/>
  <c r="AI108" i="14" a="1"/>
  <c r="K54" i="16" a="1"/>
  <c r="AN11" i="5" a="1"/>
  <c r="AO11" i="5" a="1"/>
  <c r="K23" i="16" a="1"/>
  <c r="L94" i="16" a="1"/>
  <c r="K12" i="16" a="1"/>
  <c r="L75" i="16" a="1"/>
  <c r="K36" i="16" a="1"/>
  <c r="AI20" i="14" a="1"/>
  <c r="AI87" i="14" a="1"/>
  <c r="K55" i="16" a="1"/>
  <c r="J107" i="16" a="1"/>
  <c r="I49" i="16" a="1"/>
  <c r="K71" i="16" a="1"/>
  <c r="I10" i="16" a="1"/>
  <c r="K19" i="16" a="1"/>
  <c r="K99" i="16" a="1"/>
  <c r="L106" i="16" a="1"/>
  <c r="L70" i="16" a="1"/>
  <c r="J106" i="16" a="1"/>
  <c r="K38" i="16" a="1"/>
  <c r="K44" i="16" a="1"/>
  <c r="K102" i="16" a="1"/>
  <c r="J15" i="16" a="1"/>
  <c r="I24" i="16" a="1"/>
  <c r="L33" i="16" a="1"/>
  <c r="J29" i="16" a="1"/>
  <c r="K88" i="16" a="1"/>
  <c r="I33" i="16" a="1"/>
  <c r="L58" i="16" a="1"/>
  <c r="K68" i="16" a="1"/>
  <c r="L101" i="16" a="1"/>
  <c r="K83" i="16" a="1"/>
  <c r="I55" i="16" a="1"/>
  <c r="L49" i="16" a="1"/>
  <c r="J51" i="16" a="1"/>
  <c r="J56" i="16" a="1"/>
  <c r="K45" i="16" a="1"/>
  <c r="L88" i="16" a="1"/>
  <c r="J91" i="16" a="1"/>
  <c r="K56" i="16" a="1"/>
  <c r="AN19" i="1" a="1"/>
  <c r="I75" i="16" a="1"/>
  <c r="K22" i="16" a="1"/>
  <c r="L22" i="16" a="1"/>
  <c r="I34" i="16" a="1"/>
  <c r="K65" i="16" a="1"/>
  <c r="L13" i="16" a="1"/>
  <c r="I43" i="16" a="1"/>
  <c r="J82" i="16" a="1"/>
  <c r="J11" i="16" a="1"/>
  <c r="I94" i="16" a="1"/>
  <c r="I82" i="16" a="1"/>
  <c r="L74" i="16" a="1"/>
  <c r="K78" i="16" a="1"/>
  <c r="J63" i="16" a="1"/>
  <c r="J11" i="14" a="1"/>
  <c r="AE36" i="14" a="1"/>
  <c r="AI58" i="14" a="1"/>
  <c r="L44" i="16" a="1"/>
  <c r="K98" i="16" a="1"/>
  <c r="J67" i="16" a="1"/>
  <c r="AN11" i="1" a="1"/>
  <c r="I74" i="16" a="1"/>
  <c r="L63" i="16" a="1"/>
  <c r="L76" i="16" a="1"/>
  <c r="I76" i="16" a="1"/>
  <c r="K60" i="16" a="1"/>
  <c r="L12" i="16" a="1"/>
  <c r="I36" i="16" a="1"/>
  <c r="J40" i="16" a="1"/>
  <c r="J100" i="16" a="1"/>
  <c r="I13" i="16" a="1"/>
  <c r="I40" i="16" a="1"/>
  <c r="L73" i="16" a="1"/>
  <c r="I87" i="16" a="1"/>
  <c r="J61" i="16" a="1"/>
  <c r="AE63" i="14" a="1"/>
  <c r="AE69" i="14" a="1"/>
  <c r="AI64" i="14" a="1"/>
  <c r="I26" i="16" a="1"/>
  <c r="K46" i="16" a="1"/>
  <c r="L71" i="16" a="1"/>
  <c r="I54" i="16" a="1"/>
  <c r="J9" i="16" a="1"/>
  <c r="L77" i="16" a="1"/>
  <c r="L55" i="16" a="1"/>
  <c r="L83" i="16" a="1"/>
  <c r="J55" i="16" a="1"/>
  <c r="K35" i="16" a="1"/>
  <c r="K70" i="16" a="1"/>
  <c r="K27" i="16" a="1"/>
  <c r="J50" i="16" a="1"/>
  <c r="L98" i="16" a="1"/>
  <c r="I66" i="16" a="1"/>
  <c r="L50" i="16" a="1"/>
  <c r="I51" i="16" a="1"/>
  <c r="I98" i="16" a="1"/>
  <c r="L27" i="16" a="1"/>
  <c r="AI86" i="14" a="1"/>
  <c r="AI109" i="14" a="1"/>
  <c r="K91" i="16" a="1"/>
  <c r="L89" i="16" a="1"/>
  <c r="I18" i="16" a="1"/>
  <c r="L18" i="16" a="1"/>
  <c r="I38" i="16" a="1"/>
  <c r="I89" i="16" a="1"/>
  <c r="K37" i="16" a="1"/>
  <c r="J103" i="16" a="1"/>
  <c r="J45" i="16" a="1"/>
  <c r="L15" i="16" a="1"/>
  <c r="I50" i="16" a="1"/>
  <c r="I56" i="16" a="1"/>
  <c r="K29" i="16" a="1"/>
  <c r="L97" i="16" a="1"/>
  <c r="I45" i="16" a="1"/>
  <c r="I91" i="16" a="1"/>
  <c r="AO19" i="1" a="1"/>
  <c r="I73" i="16" a="1"/>
  <c r="L61" i="16" a="1"/>
  <c r="L82" i="16" a="1"/>
  <c r="I80" i="16" a="1"/>
  <c r="K11" i="16" a="1"/>
  <c r="L80" i="16" a="1"/>
  <c r="J80" i="16" a="1"/>
  <c r="J39" i="16" a="1"/>
  <c r="L43" i="16" a="1"/>
  <c r="I12" i="16" a="1"/>
  <c r="I39" i="16" a="1"/>
  <c r="L65" i="16" a="1"/>
  <c r="I86" i="16" a="1"/>
  <c r="J20" i="16" a="1"/>
  <c r="AI72" i="14" a="1"/>
  <c r="AI21" i="14" a="1"/>
  <c r="AI54" i="14" a="1"/>
  <c r="K62" i="16" a="1"/>
  <c r="K49" i="16" a="1"/>
  <c r="L10" i="16" a="1"/>
  <c r="I46" i="16" a="1"/>
  <c r="J93" i="16" a="1"/>
  <c r="L19" i="16" a="1"/>
  <c r="L54" i="16" a="1"/>
  <c r="L26" i="16" a="1"/>
  <c r="J54" i="16" a="1"/>
  <c r="J28" i="16" a="1"/>
  <c r="K51" i="16" a="1"/>
  <c r="K42" i="16" a="1"/>
  <c r="J48" i="16" a="1"/>
  <c r="K107" i="16" a="1"/>
  <c r="K93" i="16" a="1"/>
  <c r="J46" i="16" a="1"/>
  <c r="K50" i="16" a="1"/>
  <c r="J35" i="16" a="1"/>
  <c r="K97" i="16" a="1"/>
  <c r="J99" i="16" a="1"/>
  <c r="I48" i="16" a="1"/>
  <c r="I96" i="16" a="1"/>
  <c r="J88" i="16" a="1"/>
  <c r="K28" i="16" a="1"/>
  <c r="L28" i="16" a="1"/>
  <c r="K101" i="16" a="1"/>
  <c r="L56" i="16" a="1"/>
  <c r="K90" i="16" a="1"/>
  <c r="AO11" i="1" a="1"/>
  <c r="I65" i="16" a="1"/>
  <c r="L20" i="16" a="1"/>
  <c r="L40" i="16" a="1"/>
  <c r="I79" i="16" a="1"/>
  <c r="K100" i="16" a="1"/>
  <c r="L79" i="16" a="1"/>
  <c r="J79" i="16" a="1"/>
  <c r="J75" i="16" a="1"/>
  <c r="L36" i="16" a="1"/>
  <c r="J76" i="16" a="1"/>
  <c r="K34" i="16" a="1"/>
  <c r="L60" i="16" a="1"/>
  <c r="I84" i="16" a="1"/>
  <c r="J94" i="16" a="1"/>
  <c r="AE17" i="14" a="1"/>
  <c r="AI33" i="14" a="1"/>
  <c r="AI80" i="14" a="1"/>
  <c r="K108" i="16" a="1"/>
  <c r="K9" i="16" a="1"/>
  <c r="J62" i="16" a="1"/>
  <c r="J92" i="16" a="1"/>
  <c r="L46" i="16" a="1"/>
  <c r="L107" i="16" a="1"/>
  <c r="J27" i="16" a="1"/>
  <c r="L21" i="16" a="1"/>
  <c r="L96" i="16" a="1"/>
  <c r="K53" i="16" a="1"/>
  <c r="AE101" i="14" a="1"/>
  <c r="K59" i="16" a="1"/>
  <c r="J59" i="16" a="1"/>
  <c r="L91" i="16" a="1"/>
  <c r="I103" i="16" a="1"/>
  <c r="I67" i="16" a="1"/>
  <c r="I37" i="16" a="1"/>
  <c r="J69" i="16" a="1"/>
  <c r="J89" i="16" a="1"/>
  <c r="J101" i="16" a="1"/>
  <c r="L45" i="16" a="1"/>
  <c r="I44" i="16" a="1"/>
  <c r="K18" i="16" a="1"/>
  <c r="AI110" i="14" a="1"/>
  <c r="L105" i="16" a="1"/>
  <c r="K72" i="16" a="1"/>
  <c r="I27" i="16" a="1"/>
  <c r="K15" i="16" a="1"/>
  <c r="K33" i="16" a="1"/>
  <c r="I97" i="16" a="1"/>
  <c r="I88" i="16" a="1"/>
  <c r="J102" i="16" a="1"/>
  <c r="AI17" i="14" a="1"/>
  <c r="AI63" i="14" a="1"/>
  <c r="AI52" i="14" a="1"/>
  <c r="AI27" i="14" a="1"/>
  <c r="AI77" i="14" a="1"/>
  <c r="T24" i="7" a="1"/>
  <c r="U16" i="7" a="1"/>
  <c r="S21" i="7" a="1"/>
  <c r="U21" i="7" a="1"/>
  <c r="V24" i="7" a="1"/>
  <c r="U24" i="7" a="1"/>
  <c r="X23" i="6" a="1"/>
  <c r="Y16" i="6" a="1"/>
  <c r="F12" i="16" a="1"/>
  <c r="AD97" i="14" a="1"/>
  <c r="AF19" i="14" a="1"/>
  <c r="AO102" i="14" a="1"/>
  <c r="AK14" i="14" a="1"/>
  <c r="G12" i="16" a="1"/>
  <c r="AR97" i="14" a="1"/>
  <c r="G32" i="16" a="1"/>
  <c r="M26" i="6"/>
  <c r="F59" i="14" a="1"/>
  <c r="AN24" i="14" a="1"/>
  <c r="D22" i="16" a="1"/>
  <c r="AP62" i="14" a="1"/>
  <c r="AK49" i="14" a="1"/>
  <c r="K24" i="14" a="1"/>
  <c r="AK34" i="14" a="1"/>
  <c r="AO59" i="14" a="1"/>
  <c r="AN62" i="14" a="1"/>
  <c r="AP34" i="14" a="1"/>
  <c r="G19" i="14" a="1"/>
  <c r="G57" i="16" a="1"/>
  <c r="AU14" i="14" a="1"/>
  <c r="C95" i="16" a="1"/>
  <c r="AQ34" i="14" a="1"/>
  <c r="H19" i="14" a="1"/>
  <c r="AD22" i="14" a="1"/>
  <c r="I22" i="14" a="1"/>
  <c r="F32" i="16" a="1"/>
  <c r="AU22" i="14" a="1"/>
  <c r="AP97" i="14" a="1"/>
  <c r="D24" i="14" a="1"/>
  <c r="AR49" i="14" a="1"/>
  <c r="AO24" i="14" a="1"/>
  <c r="AS97" i="14" a="1"/>
  <c r="AT49" i="14" a="1"/>
  <c r="AQ19" i="14" a="1"/>
  <c r="K14" i="14" a="1"/>
  <c r="AR14" i="14" a="1"/>
  <c r="F47" i="16" a="1"/>
  <c r="AL97" i="14" a="1"/>
  <c r="AN34" i="14" a="1"/>
  <c r="AF14" i="14" a="1"/>
  <c r="AM102" i="14" a="1"/>
  <c r="H57" i="16" a="1"/>
  <c r="AK102" i="14" a="1"/>
  <c r="E59" i="14" a="1"/>
  <c r="AI26" i="14" a="1"/>
  <c r="AI37" i="14" a="1"/>
  <c r="AI101" i="14" a="1"/>
  <c r="AI51" i="14" a="1"/>
  <c r="AI91" i="14" a="1"/>
  <c r="T22" i="7" a="1"/>
  <c r="N24" i="7" a="1"/>
  <c r="N16" i="7" a="1"/>
  <c r="S15" i="7" a="1"/>
  <c r="S18" i="7" a="1"/>
  <c r="V13" i="7" a="1"/>
  <c r="X14" i="6" a="1"/>
  <c r="X21" i="6" a="1"/>
  <c r="C14" i="14" a="1"/>
  <c r="G97" i="14" a="1"/>
  <c r="D95" i="16" a="1"/>
  <c r="H34" i="14" a="1"/>
  <c r="D14" i="14" a="1"/>
  <c r="AK97" i="14" a="1"/>
  <c r="C49" i="14" a="1"/>
  <c r="H62" i="14" a="1"/>
  <c r="H24" i="14" a="1"/>
  <c r="AQ14" i="14" a="1"/>
  <c r="AS49" i="14" a="1"/>
  <c r="H14" i="14" a="1"/>
  <c r="AP102" i="14" a="1"/>
  <c r="AB14" i="14" a="1"/>
  <c r="AQ59" i="14" a="1"/>
  <c r="AS59" i="14" a="1"/>
  <c r="AU97" i="14" a="1"/>
  <c r="AO97" i="14" a="1"/>
  <c r="G47" i="16" a="1"/>
  <c r="C12" i="16" a="1"/>
  <c r="AF34" i="14" a="1"/>
  <c r="AB97" i="14" a="1"/>
  <c r="AN97" i="14" a="1"/>
  <c r="C24" i="14" a="1"/>
  <c r="F100" i="16" a="1"/>
  <c r="AQ24" i="14" a="1"/>
  <c r="AL24" i="14" a="1"/>
  <c r="AF59" i="14" a="1"/>
  <c r="C22" i="14" a="1"/>
  <c r="F34" i="14" a="1"/>
  <c r="I19" i="14" a="1"/>
  <c r="AM22" i="14" a="1"/>
  <c r="D57" i="16" a="1"/>
  <c r="AK22" i="14" a="1"/>
  <c r="K59" i="14" a="1"/>
  <c r="AS19" i="14" a="1"/>
  <c r="H12" i="16" a="1"/>
  <c r="AI106" i="14" a="1"/>
  <c r="S17" i="7" a="1"/>
  <c r="Y23" i="6" a="1"/>
  <c r="AQ49" i="14" a="1"/>
  <c r="AI57" i="14" a="1"/>
  <c r="AI81" i="14" a="1"/>
  <c r="AI48" i="14" a="1"/>
  <c r="N15" i="7" a="1"/>
  <c r="N14" i="7" a="1"/>
  <c r="U17" i="7" a="1"/>
  <c r="N13" i="7" a="1"/>
  <c r="Y22" i="6" a="1"/>
  <c r="AU34" i="14" a="1"/>
  <c r="AD102" i="14" a="1"/>
  <c r="C57" i="16" a="1"/>
  <c r="D20" i="16" a="1"/>
  <c r="AB24" i="14" a="1"/>
  <c r="AP19" i="14" a="1"/>
  <c r="AT22" i="14" a="1"/>
  <c r="G34" i="14" a="1"/>
  <c r="D32" i="16" a="1"/>
  <c r="C100" i="16" a="1"/>
  <c r="C62" i="14" a="1"/>
  <c r="AI61" i="14" a="1"/>
  <c r="AI74" i="14" a="1"/>
  <c r="AI85" i="14" a="1"/>
  <c r="AI55" i="14" a="1"/>
  <c r="T16" i="7" a="1"/>
  <c r="V17" i="7" a="1"/>
  <c r="V22" i="7" a="1"/>
  <c r="T15" i="7" a="1"/>
  <c r="N21" i="7" a="1"/>
  <c r="Y15" i="6" a="1"/>
  <c r="Y19" i="6" a="1"/>
  <c r="F22" i="14" a="1"/>
  <c r="E19" i="14" a="1"/>
  <c r="AT24" i="14" a="1"/>
  <c r="AI75" i="14" a="1"/>
  <c r="AI94" i="14" a="1"/>
  <c r="U22" i="7" a="1"/>
  <c r="N22" i="7" a="1"/>
  <c r="U18" i="7" a="1"/>
  <c r="T14" i="7" a="1"/>
  <c r="T17" i="7" a="1"/>
  <c r="Y20" i="6" a="1"/>
  <c r="Y21" i="6" a="1"/>
  <c r="H20" i="16" a="1"/>
  <c r="D17" i="16" a="1"/>
  <c r="I34" i="14" a="1"/>
  <c r="D100" i="16" a="1"/>
  <c r="E62" i="14" a="1"/>
  <c r="AM62" i="14" a="1"/>
  <c r="AD24" i="14" a="1"/>
  <c r="AS34" i="14" a="1"/>
  <c r="I97" i="14" a="1"/>
  <c r="AD14" i="14" a="1"/>
  <c r="AS22" i="14" a="1"/>
  <c r="AP49" i="14" a="1"/>
  <c r="AL22" i="14" a="1"/>
  <c r="AP14" i="14" a="1"/>
  <c r="AU59" i="14" a="1"/>
  <c r="C34" i="14" a="1"/>
  <c r="AU62" i="14" a="1"/>
  <c r="H60" i="16" a="1"/>
  <c r="AO34" i="14" a="1"/>
  <c r="I14" i="14" a="1"/>
  <c r="AB49" i="14" a="1"/>
  <c r="H100" i="16" a="1"/>
  <c r="AD19" i="14" a="1"/>
  <c r="D19" i="14" a="1"/>
  <c r="H49" i="14" a="1"/>
  <c r="AF97" i="14" a="1"/>
  <c r="G14" i="14" a="1"/>
  <c r="D22" i="14" a="1"/>
  <c r="AR34" i="14" a="1"/>
  <c r="G24" i="14" a="1"/>
  <c r="AI15" i="14" a="1"/>
  <c r="AI36" i="14" a="1"/>
  <c r="AI67" i="14" a="1"/>
  <c r="V14" i="7" a="1"/>
  <c r="N17" i="7" a="1"/>
  <c r="T18" i="7" a="1"/>
  <c r="S13" i="7" a="1"/>
  <c r="V21" i="7" a="1"/>
  <c r="U14" i="7" a="1"/>
  <c r="X15" i="6" a="1"/>
  <c r="X16" i="6" a="1"/>
  <c r="K62" i="14" a="1"/>
  <c r="I62" i="14" a="1"/>
  <c r="H95" i="16" a="1"/>
  <c r="E49" i="14" a="1"/>
  <c r="H22" i="14" a="1"/>
  <c r="AP22" i="14" a="1"/>
  <c r="C32" i="16" a="1"/>
  <c r="H97" i="14" a="1"/>
  <c r="AS14" i="14" a="1"/>
  <c r="H102" i="14" a="1"/>
  <c r="D60" i="16" a="1"/>
  <c r="I59" i="14" a="1"/>
  <c r="AB34" i="14" a="1"/>
  <c r="AB22" i="14" a="1"/>
  <c r="AL62" i="14" a="1"/>
  <c r="AT19" i="14" a="1"/>
  <c r="F49" i="14" a="1"/>
  <c r="AU102" i="14" a="1"/>
  <c r="AM14" i="14" a="1"/>
  <c r="AP24" i="14" a="1"/>
  <c r="AT34" i="14" a="1"/>
  <c r="K22" i="14" a="1"/>
  <c r="F19" i="14" a="1"/>
  <c r="K34" i="14" a="1"/>
  <c r="AT14" i="14" a="1"/>
  <c r="F24" i="14" a="1"/>
  <c r="AO14" i="14" a="1"/>
  <c r="G100" i="16" a="1"/>
  <c r="AL19" i="14" a="1"/>
  <c r="C17" i="16" a="1"/>
  <c r="D47" i="16" a="1"/>
  <c r="AI28" i="14" a="1"/>
  <c r="AI69" i="14" a="1"/>
  <c r="AI53" i="14" a="1"/>
  <c r="T21" i="7" a="1"/>
  <c r="V15" i="7" a="1"/>
  <c r="V16" i="7" a="1"/>
  <c r="S22" i="7" a="1"/>
  <c r="T13" i="7" a="1"/>
  <c r="S14" i="7" a="1"/>
  <c r="Y14" i="6" a="1"/>
  <c r="X22" i="6" a="1"/>
  <c r="H59" i="14" a="1"/>
  <c r="I102" i="14" a="1"/>
  <c r="AK19" i="14" a="1"/>
  <c r="AF24" i="14" a="1"/>
  <c r="E24" i="14" a="1"/>
  <c r="H17" i="16" a="1"/>
  <c r="G95" i="16" a="1"/>
  <c r="AR24" i="14" a="1"/>
  <c r="AQ22" i="14" a="1"/>
  <c r="H22" i="16" a="1"/>
  <c r="G22" i="14" a="1"/>
  <c r="AD59" i="14" a="1"/>
  <c r="AR59" i="14" a="1"/>
  <c r="D97" i="14" a="1"/>
  <c r="K49" i="14" a="1"/>
  <c r="AL59" i="14" a="1"/>
  <c r="H47" i="16" a="1"/>
  <c r="F57" i="16" a="1"/>
  <c r="AB62" i="14" a="1"/>
  <c r="AO62" i="14" a="1"/>
  <c r="G17" i="16" a="1"/>
  <c r="AN14" i="14" a="1"/>
  <c r="E97" i="14" a="1"/>
  <c r="N18" i="7" a="1"/>
  <c r="I49" i="14" a="1"/>
  <c r="D59" i="14" a="1"/>
  <c r="H32" i="16" a="1"/>
  <c r="AO22" i="14" a="1"/>
  <c r="AD62" i="14" a="1"/>
  <c r="AL102" i="14" a="1"/>
  <c r="AK62" i="14" a="1"/>
  <c r="AI66" i="14" a="1"/>
  <c r="AD34" i="14" a="1"/>
  <c r="AT62" i="14" a="1"/>
  <c r="D102" i="14" a="1"/>
  <c r="AK59" i="14" a="1"/>
  <c r="AQ102" i="14" a="1"/>
  <c r="AS24" i="14" a="1"/>
  <c r="F60" i="16" a="1"/>
  <c r="S24" i="7" a="1"/>
  <c r="C97" i="14" a="1"/>
  <c r="AN102" i="14" a="1"/>
  <c r="AN59" i="14" a="1"/>
  <c r="E102" i="14" a="1"/>
  <c r="AU49" i="14" a="1"/>
  <c r="C19" i="14" a="1"/>
  <c r="AQ97" i="14" a="1"/>
  <c r="AU19" i="14" a="1"/>
  <c r="AR22" i="14" a="1"/>
  <c r="AM19" i="14" a="1"/>
  <c r="AF62" i="14" a="1"/>
  <c r="C22" i="16" a="1"/>
  <c r="AF22" i="14" a="1"/>
  <c r="AO19" i="14" a="1"/>
  <c r="E14" i="14" a="1"/>
  <c r="AD49" i="14" a="1"/>
  <c r="AB19" i="14" a="1"/>
  <c r="AN19" i="14" a="1"/>
  <c r="AF49" i="14" a="1"/>
  <c r="C47" i="16" a="1"/>
  <c r="AM97" i="14" a="1"/>
  <c r="AM24" i="14" a="1"/>
  <c r="AR19" i="14" a="1"/>
  <c r="U15" i="7" a="1"/>
  <c r="G20" i="16" a="1"/>
  <c r="C59" i="14" a="1"/>
  <c r="V18" i="7" a="1"/>
  <c r="X20" i="6" a="1"/>
  <c r="F22" i="16" a="1"/>
  <c r="G62" i="14" a="1"/>
  <c r="E34" i="14" a="1"/>
  <c r="AS102" i="14" a="1"/>
  <c r="AR62" i="14" a="1"/>
  <c r="G60" i="16" a="1"/>
  <c r="F14" i="14" a="1"/>
  <c r="X19" i="6" a="1"/>
  <c r="G49" i="14" a="1"/>
  <c r="F62" i="14" a="1"/>
  <c r="AL49" i="14" a="1"/>
  <c r="K19" i="14" a="1"/>
  <c r="S16" i="7" a="1"/>
  <c r="AS62" i="14" a="1"/>
  <c r="C102" i="14" a="1"/>
  <c r="AT102" i="14" a="1"/>
  <c r="F95" i="16" a="1"/>
  <c r="D34" i="14" a="1"/>
  <c r="AR102" i="14" a="1"/>
  <c r="AT97" i="14" a="1"/>
  <c r="AT59" i="14" a="1"/>
  <c r="F17" i="16" a="1"/>
  <c r="I24" i="14" a="1"/>
  <c r="AQ62" i="14" a="1"/>
  <c r="AU24" i="14" a="1"/>
  <c r="U13" i="7" a="1"/>
  <c r="AM49" i="14" a="1"/>
  <c r="AM34" i="14" a="1"/>
  <c r="AL14" i="14" a="1"/>
  <c r="AP59" i="14" a="1"/>
  <c r="AO49" i="14" a="1"/>
  <c r="AF102" i="14" a="1"/>
  <c r="AB102" i="14" a="1"/>
  <c r="E22" i="14" a="1"/>
  <c r="AK24" i="14" a="1"/>
  <c r="AN49" i="14" a="1"/>
  <c r="K102" i="14" a="1"/>
  <c r="K97" i="14" a="1"/>
  <c r="G59" i="14" a="1"/>
  <c r="D12" i="16" a="1"/>
  <c r="AB59" i="14" a="1"/>
  <c r="F20" i="16" a="1"/>
  <c r="G22" i="16" a="1"/>
  <c r="F97" i="14" a="1"/>
  <c r="D62" i="14" a="1"/>
  <c r="C20" i="16" a="1"/>
  <c r="C60" i="16" a="1"/>
  <c r="G102" i="14" a="1"/>
  <c r="AN22" i="14" a="1"/>
  <c r="AI50" i="14" a="1"/>
  <c r="F102" i="14" a="1"/>
  <c r="D49" i="14" a="1"/>
  <c r="AL34" i="14" a="1"/>
  <c r="AM59" i="14" a="1"/>
  <c r="AI107" i="14" a="1"/>
  <c r="AI44" i="14" a="1"/>
  <c r="AB22" i="1" a="1"/>
  <c r="Z11" i="1" a="1"/>
  <c r="S23" i="7" a="1"/>
  <c r="AT18" i="14" a="1"/>
  <c r="AP18" i="14" a="1"/>
  <c r="AM13" i="14" a="1"/>
  <c r="K82" i="14" a="1"/>
  <c r="AM43" i="14" a="1"/>
  <c r="G16" i="14" a="1"/>
  <c r="AF18" i="14" a="1"/>
  <c r="C13" i="14" a="1"/>
  <c r="K16" i="14" a="1"/>
  <c r="AS83" i="14" a="1"/>
  <c r="AB73" i="14" a="1"/>
  <c r="K43" i="14" a="1"/>
  <c r="AP26" i="14" a="1"/>
  <c r="AU82" i="14" a="1"/>
  <c r="H13" i="14" a="1"/>
  <c r="G54" i="16" a="1"/>
  <c r="G13" i="4"/>
  <c r="F40" i="16" a="1"/>
  <c r="AB32" i="14" a="1"/>
  <c r="G73" i="16" a="1"/>
  <c r="I42" i="14" a="1"/>
  <c r="AU42" i="14" a="1"/>
  <c r="AB75" i="14" a="1"/>
  <c r="D60" i="14" a="1"/>
  <c r="AM61" i="14" a="1"/>
  <c r="AQ65" i="14" a="1"/>
  <c r="AL61" i="14" a="1"/>
  <c r="F61" i="14" a="1"/>
  <c r="D61" i="14" a="1"/>
  <c r="F30" i="16" a="1"/>
  <c r="G76" i="14" a="1"/>
  <c r="C42" i="14" a="1"/>
  <c r="U19" i="7" a="1"/>
  <c r="AB11" i="5" a="1"/>
  <c r="AO17" i="1" a="1"/>
  <c r="AO13" i="1" a="1"/>
  <c r="AU18" i="14" a="1"/>
  <c r="AQ56" i="14" a="1"/>
  <c r="D16" i="16" a="1"/>
  <c r="AK83" i="14" a="1"/>
  <c r="AU13" i="14" a="1"/>
  <c r="AU103" i="14" a="1"/>
  <c r="AT16" i="14" a="1"/>
  <c r="G14" i="16" a="1"/>
  <c r="G83" i="14" a="1"/>
  <c r="AM16" i="14" a="1"/>
  <c r="D18" i="14" a="1"/>
  <c r="I13" i="14" a="1"/>
  <c r="AD103" i="14" a="1"/>
  <c r="AU83" i="14" a="1"/>
  <c r="AQ13" i="14" a="1"/>
  <c r="D80" i="16" a="1"/>
  <c r="AT103" i="14" a="1"/>
  <c r="AK82" i="14" a="1"/>
  <c r="H56" i="14" a="1"/>
  <c r="D71" i="16" a="1"/>
  <c r="G14" i="4"/>
  <c r="R13" i="4" a="1"/>
  <c r="R15" i="4" a="1"/>
  <c r="Z13" i="4" a="1"/>
  <c r="V11" i="7" a="1"/>
  <c r="V12" i="7" a="1"/>
  <c r="C40" i="16" a="1"/>
  <c r="D65" i="14" a="1"/>
  <c r="AD42" i="14" a="1"/>
  <c r="G70" i="14" a="1"/>
  <c r="E57" i="14" a="1"/>
  <c r="AF57" i="14" a="1"/>
  <c r="C75" i="14" a="1"/>
  <c r="AD65" i="14" a="1"/>
  <c r="C60" i="14" a="1"/>
  <c r="G55" i="16" a="1"/>
  <c r="H76" i="14" a="1"/>
  <c r="AN75" i="14" a="1"/>
  <c r="C65" i="14" a="1"/>
  <c r="I61" i="14" a="1"/>
  <c r="G40" i="16" a="1"/>
  <c r="AQ60" i="14" a="1"/>
  <c r="AO60" i="14" a="1"/>
  <c r="AO76" i="14" a="1"/>
  <c r="AT75" i="14" a="1"/>
  <c r="F96" i="14" a="1"/>
  <c r="AC15" i="4" a="1"/>
  <c r="J26" i="6" a="1"/>
  <c r="AA22" i="1" a="1"/>
  <c r="V23" i="7" a="1"/>
  <c r="K26" i="14" a="1"/>
  <c r="AM26" i="14" a="1"/>
  <c r="I18" i="14" a="1"/>
  <c r="AQ16" i="14" a="1"/>
  <c r="AO103" i="14" a="1"/>
  <c r="AP83" i="14" a="1"/>
  <c r="K83" i="14" a="1"/>
  <c r="G101" i="16" a="1"/>
  <c r="AK16" i="14" a="1"/>
  <c r="AP73" i="14" a="1"/>
  <c r="G71" i="16" a="1"/>
  <c r="AB103" i="14" a="1"/>
  <c r="AK26" i="14" a="1"/>
  <c r="AA14" i="4" a="1"/>
  <c r="F73" i="16" a="1"/>
  <c r="AT65" i="14" a="1"/>
  <c r="AN32" i="14" a="1"/>
  <c r="AK61" i="14" a="1"/>
  <c r="AR32" i="14" a="1"/>
  <c r="C58" i="16" a="1"/>
  <c r="AL75" i="14" a="1"/>
  <c r="AF75" i="14" a="1"/>
  <c r="K42" i="14" a="1"/>
  <c r="H59" i="16" a="1"/>
  <c r="AP70" i="14" a="1"/>
  <c r="C59" i="16" a="1"/>
  <c r="F74" i="16" a="1"/>
  <c r="X13" i="7" a="1"/>
  <c r="AD12" i="4" a="1"/>
  <c r="S11" i="6" a="1"/>
  <c r="AK73" i="14" a="1"/>
  <c r="AU16" i="14" a="1"/>
  <c r="C16" i="14" a="1"/>
  <c r="AQ103" i="14" a="1"/>
  <c r="AR43" i="14" a="1"/>
  <c r="AL73" i="14" a="1"/>
  <c r="C56" i="14" a="1"/>
  <c r="F73" i="14" a="1"/>
  <c r="E103" i="14" a="1"/>
  <c r="AK43" i="14" a="1"/>
  <c r="G80" i="16" a="1"/>
  <c r="C16" i="16" a="1"/>
  <c r="AB16" i="14" a="1"/>
  <c r="AD16" i="14" a="1"/>
  <c r="AS103" i="14" a="1"/>
  <c r="AU43" i="14" a="1"/>
  <c r="G41" i="16" a="1"/>
  <c r="AM73" i="14" a="1"/>
  <c r="AP103" i="14" a="1"/>
  <c r="F13" i="14" a="1"/>
  <c r="Y13" i="4"/>
  <c r="B27" i="12" a="1"/>
  <c r="S25" i="7" a="1"/>
  <c r="S11" i="1" a="1"/>
  <c r="AC11" i="1" a="1"/>
  <c r="AI99" i="14" a="1"/>
  <c r="N23" i="7" a="1"/>
  <c r="D26" i="14" a="1"/>
  <c r="AK13" i="14" a="1"/>
  <c r="D43" i="14" a="1"/>
  <c r="I73" i="14" a="1"/>
  <c r="AN26" i="14" a="1"/>
  <c r="AT13" i="14" a="1"/>
  <c r="F83" i="14" a="1"/>
  <c r="I82" i="14" a="1"/>
  <c r="F26" i="14" a="1"/>
  <c r="AB83" i="14" a="1"/>
  <c r="AN56" i="14" a="1"/>
  <c r="AF43" i="14" a="1"/>
  <c r="F11" i="16" a="1"/>
  <c r="AO83" i="14" a="1"/>
  <c r="X12" i="4"/>
  <c r="R12" i="4" a="1"/>
  <c r="AN96" i="14" a="1"/>
  <c r="X24" i="7" a="1"/>
  <c r="AO12" i="1" a="1"/>
  <c r="W11" i="6" a="1"/>
  <c r="AB82" i="14" a="1"/>
  <c r="H26" i="14" a="1"/>
  <c r="AB56" i="14" a="1"/>
  <c r="K18" i="14" a="1"/>
  <c r="H103" i="14" a="1"/>
  <c r="C83" i="14" a="1"/>
  <c r="H71" i="16" a="1"/>
  <c r="D101" i="16" a="1"/>
  <c r="AB43" i="14" a="1"/>
  <c r="AT43" i="14" a="1"/>
  <c r="F18" i="14" a="1"/>
  <c r="AK56" i="14" a="1"/>
  <c r="AM83" i="14" a="1"/>
  <c r="AU56" i="14" a="1"/>
  <c r="F101" i="16" a="1"/>
  <c r="AL56" i="14" a="1"/>
  <c r="G24" i="16" a="1"/>
  <c r="AS73" i="14" a="1"/>
  <c r="AT73" i="14" a="1"/>
  <c r="H11" i="16" a="1"/>
  <c r="S22" i="1" a="1"/>
  <c r="AI45" i="14" a="1"/>
  <c r="R22" i="1" a="1"/>
  <c r="AI95" i="14" a="1"/>
  <c r="T23" i="7" a="1"/>
  <c r="C24" i="16" a="1"/>
  <c r="AF56" i="14" a="1"/>
  <c r="C41" i="16" a="1"/>
  <c r="AS43" i="14" a="1"/>
  <c r="D73" i="14" a="1"/>
  <c r="AL103" i="14" a="1"/>
  <c r="H81" i="16" a="1"/>
  <c r="AS13" i="14" a="1"/>
  <c r="H24" i="16" a="1"/>
  <c r="AS56" i="14" a="1"/>
  <c r="AM103" i="14" a="1"/>
  <c r="AT82" i="14" a="1"/>
  <c r="D103" i="14" a="1"/>
  <c r="AQ82" i="14" a="1"/>
  <c r="X13" i="4"/>
  <c r="W14" i="7" a="1"/>
  <c r="AE12" i="4" a="1"/>
  <c r="U11" i="6" a="1"/>
  <c r="F103" i="14" a="1"/>
  <c r="D16" i="14" a="1"/>
  <c r="AT83" i="14" a="1"/>
  <c r="AR83" i="14" a="1"/>
  <c r="AQ83" i="14" a="1"/>
  <c r="I103" i="14" a="1"/>
  <c r="G18" i="14" a="1"/>
  <c r="H16" i="16" a="1"/>
  <c r="AQ26" i="14" a="1"/>
  <c r="AI35" i="14" a="1"/>
  <c r="Z22" i="1" a="1"/>
  <c r="R11" i="5" a="1"/>
  <c r="C43" i="14" a="1"/>
  <c r="F56" i="14" a="1"/>
  <c r="F82" i="14" a="1"/>
  <c r="AO13" i="14" a="1"/>
  <c r="F81" i="16" a="1"/>
  <c r="AF26" i="14" a="1"/>
  <c r="AO18" i="14" a="1"/>
  <c r="C71" i="16" a="1"/>
  <c r="AD13" i="14" a="1"/>
  <c r="AP43" i="14" a="1"/>
  <c r="AR16" i="14" a="1"/>
  <c r="AL83" i="14" a="1"/>
  <c r="AK18" i="14" a="1"/>
  <c r="C101" i="16" a="1"/>
  <c r="AL26" i="14" a="1"/>
  <c r="X14" i="4"/>
  <c r="AM76" i="14" a="1"/>
  <c r="AB76" i="14" a="1"/>
  <c r="D32" i="14" a="1"/>
  <c r="G94" i="16" a="1"/>
  <c r="D59" i="16" a="1"/>
  <c r="AD70" i="14" a="1"/>
  <c r="AS96" i="14" a="1"/>
  <c r="G30" i="16" a="1"/>
  <c r="AN60" i="14" a="1"/>
  <c r="H60" i="14" a="1"/>
  <c r="AO32" i="14" a="1"/>
  <c r="I60" i="14" a="1"/>
  <c r="H75" i="14" a="1"/>
  <c r="AT32" i="14" a="1"/>
  <c r="AS65" i="14" a="1"/>
  <c r="AR75" i="14" a="1"/>
  <c r="N20" i="7" a="1"/>
  <c r="AL65" i="14" a="1"/>
  <c r="AU76" i="14" a="1"/>
  <c r="E65" i="14" a="1"/>
  <c r="AN13" i="1" a="1"/>
  <c r="W24" i="7" a="1"/>
  <c r="N11" i="6" a="1"/>
  <c r="H101" i="16" a="1"/>
  <c r="H83" i="14" a="1"/>
  <c r="C14" i="16" a="1"/>
  <c r="AQ18" i="14" a="1"/>
  <c r="AT56" i="14" a="1"/>
  <c r="G56" i="14" a="1"/>
  <c r="F16" i="14" a="1"/>
  <c r="D82" i="14" a="1"/>
  <c r="AL16" i="14" a="1"/>
  <c r="I43" i="14" a="1"/>
  <c r="K13" i="14" a="1"/>
  <c r="AF82" i="14" a="1"/>
  <c r="C11" i="16" a="1"/>
  <c r="AD73" i="14" a="1"/>
  <c r="E83" i="14" a="1"/>
  <c r="S15" i="4" a="1"/>
  <c r="G12" i="4"/>
  <c r="Y14" i="4"/>
  <c r="G15" i="4"/>
  <c r="T11" i="7" a="1"/>
  <c r="V25" i="7" a="1"/>
  <c r="E76" i="14" a="1"/>
  <c r="D94" i="16" a="1"/>
  <c r="AU70" i="14" a="1"/>
  <c r="AL70" i="14" a="1"/>
  <c r="AN57" i="14" a="1"/>
  <c r="AU96" i="14" a="1"/>
  <c r="H61" i="14" a="1"/>
  <c r="H63" i="16" a="1"/>
  <c r="AD60" i="14" a="1"/>
  <c r="AF60" i="14" a="1"/>
  <c r="AI46" i="14" a="1"/>
  <c r="AI30" i="14" a="1"/>
  <c r="AA11" i="1" a="1"/>
  <c r="G11" i="5"/>
  <c r="E56" i="14" a="1"/>
  <c r="H54" i="16" a="1"/>
  <c r="H80" i="16" a="1"/>
  <c r="AO56" i="14" a="1"/>
  <c r="F71" i="16" a="1"/>
  <c r="E16" i="14" a="1"/>
  <c r="I56" i="14" a="1"/>
  <c r="AB18" i="14" a="1"/>
  <c r="E43" i="14" a="1"/>
  <c r="AB13" i="14" a="1"/>
  <c r="C82" i="14" a="1"/>
  <c r="C26" i="14" a="1"/>
  <c r="AP56" i="14" a="1"/>
  <c r="AF13" i="14" a="1"/>
  <c r="AP82" i="14" a="1"/>
  <c r="AS16" i="14" a="1"/>
  <c r="AN82" i="14" a="1"/>
  <c r="AS26" i="14" a="1"/>
  <c r="AA11" i="5" a="1"/>
  <c r="X17" i="7" a="1"/>
  <c r="X14" i="7" a="1"/>
  <c r="T11" i="6" a="1"/>
  <c r="I26" i="14" a="1"/>
  <c r="AO26" i="14" a="1"/>
  <c r="AI47" i="14" a="1"/>
  <c r="AI71" i="14" a="1"/>
  <c r="G11" i="1"/>
  <c r="AC22" i="1" a="1"/>
  <c r="D54" i="16" a="1"/>
  <c r="I83" i="14" a="1"/>
  <c r="G16" i="16" a="1"/>
  <c r="G43" i="14" a="1"/>
  <c r="AR103" i="14" a="1"/>
  <c r="D14" i="16" a="1"/>
  <c r="AR73" i="14" a="1"/>
  <c r="AN103" i="14" a="1"/>
  <c r="D41" i="16" a="1"/>
  <c r="F24" i="16" a="1"/>
  <c r="AD82" i="14" a="1"/>
  <c r="D83" i="14" a="1"/>
  <c r="K73" i="14" a="1"/>
  <c r="AU26" i="14" a="1"/>
  <c r="F43" i="14" a="1"/>
  <c r="AT26" i="14" a="1"/>
  <c r="AS82" i="14" a="1"/>
  <c r="F14" i="16" a="1"/>
  <c r="AB13" i="4" a="1"/>
  <c r="AA12" i="4" a="1"/>
  <c r="Y15" i="4"/>
  <c r="I32" i="14" a="1"/>
  <c r="AB65" i="14" a="1"/>
  <c r="AF70" i="14" a="1"/>
  <c r="K65" i="14" a="1"/>
  <c r="K75" i="14" a="1"/>
  <c r="G96" i="14" a="1"/>
  <c r="AK76" i="14" a="1"/>
  <c r="H73" i="16" a="1"/>
  <c r="D73" i="16" a="1"/>
  <c r="AU75" i="14" a="1"/>
  <c r="AK70" i="14" a="1"/>
  <c r="AU57" i="14" a="1"/>
  <c r="AD61" i="14" a="1"/>
  <c r="H40" i="16" a="1"/>
  <c r="K70" i="14" a="1"/>
  <c r="AD32" i="14" a="1"/>
  <c r="G42" i="14" a="1"/>
  <c r="H55" i="16" a="1"/>
  <c r="AK42" i="14" a="1"/>
  <c r="F76" i="14" a="1"/>
  <c r="R11" i="1" a="1"/>
  <c r="Z11" i="5" a="1"/>
  <c r="AN12" i="1" a="1"/>
  <c r="W17" i="7" a="1"/>
  <c r="V11" i="6" a="1"/>
  <c r="AU73" i="14" a="1"/>
  <c r="AF73" i="14" a="1"/>
  <c r="AL43" i="14" a="1"/>
  <c r="I16" i="14" a="1"/>
  <c r="AN18" i="14" a="1"/>
  <c r="G11" i="16" a="1"/>
  <c r="D24" i="16" a="1"/>
  <c r="H82" i="14" a="1"/>
  <c r="AD56" i="14" a="1"/>
  <c r="AR26" i="14" a="1"/>
  <c r="C54" i="16" a="1"/>
  <c r="AN13" i="14" a="1"/>
  <c r="H73" i="14" a="1"/>
  <c r="C18" i="14" a="1"/>
  <c r="F54" i="16" a="1"/>
  <c r="AF103" i="14" a="1"/>
  <c r="AP16" i="14" a="1"/>
  <c r="D11" i="16" a="1"/>
  <c r="S14" i="4" a="1"/>
  <c r="AA13" i="4" a="1"/>
  <c r="S11" i="7" a="1"/>
  <c r="V20" i="7" a="1"/>
  <c r="AQ75" i="14" a="1"/>
  <c r="C61" i="14" a="1"/>
  <c r="D76" i="14" a="1"/>
  <c r="AB70" i="14" a="1"/>
  <c r="D68" i="16" a="1"/>
  <c r="AI100" i="14" a="1"/>
  <c r="AB11" i="1" a="1"/>
  <c r="U23" i="7" a="1"/>
  <c r="AS18" i="14" a="1"/>
  <c r="AL18" i="14" a="1"/>
  <c r="AB26" i="14" a="1"/>
  <c r="AD83" i="14" a="1"/>
  <c r="AL82" i="14" a="1"/>
  <c r="AD26" i="14" a="1"/>
  <c r="H43" i="14" a="1"/>
  <c r="AN73" i="14" a="1"/>
  <c r="F41" i="16" a="1"/>
  <c r="G73" i="14" a="1"/>
  <c r="C81" i="16" a="1"/>
  <c r="AN83" i="14" a="1"/>
  <c r="AM56" i="14" a="1"/>
  <c r="H41" i="16" a="1"/>
  <c r="H16" i="14" a="1"/>
  <c r="K103" i="14" a="1"/>
  <c r="AO16" i="14" a="1"/>
  <c r="X15" i="4"/>
  <c r="Z12" i="4" a="1"/>
  <c r="K61" i="14" a="1"/>
  <c r="AR65" i="14" a="1"/>
  <c r="AQ61" i="14" a="1"/>
  <c r="AS42" i="14" a="1"/>
  <c r="H32" i="14" a="1"/>
  <c r="AD75" i="14" a="1"/>
  <c r="F63" i="16" a="1"/>
  <c r="C32" i="14" a="1"/>
  <c r="AR76" i="14" a="1"/>
  <c r="AM42" i="14" a="1"/>
  <c r="AP65" i="14" a="1"/>
  <c r="AM70" i="14" a="1"/>
  <c r="AL57" i="14" a="1"/>
  <c r="AK65" i="14" a="1"/>
  <c r="AT70" i="14" a="1"/>
  <c r="G57" i="14" a="1"/>
  <c r="AO96" i="14" a="1"/>
  <c r="H68" i="16" a="1"/>
  <c r="G22" i="1"/>
  <c r="AC11" i="5" a="1"/>
  <c r="AN17" i="1" a="1"/>
  <c r="W13" i="7" a="1"/>
  <c r="AI104" i="14" a="1"/>
  <c r="AN43" i="14" a="1"/>
  <c r="E18" i="14" a="1"/>
  <c r="AO82" i="14" a="1"/>
  <c r="AO73" i="14" a="1"/>
  <c r="C73" i="14" a="1"/>
  <c r="AK103" i="14" a="1"/>
  <c r="H18" i="14" a="1"/>
  <c r="AR56" i="14" a="1"/>
  <c r="AN16" i="14" a="1"/>
  <c r="AM82" i="14" a="1"/>
  <c r="AQ73" i="14" a="1"/>
  <c r="AD43" i="14" a="1"/>
  <c r="AO43" i="14" a="1"/>
  <c r="E82" i="14" a="1"/>
  <c r="AF16" i="14" a="1"/>
  <c r="AD18" i="14" a="1"/>
  <c r="F80" i="16" a="1"/>
  <c r="AQ43" i="14" a="1"/>
  <c r="E73" i="14" a="1"/>
  <c r="AC12" i="4" a="1"/>
  <c r="Z15" i="4" a="1"/>
  <c r="AC13" i="4" a="1"/>
  <c r="S20" i="7" a="1"/>
  <c r="N11" i="7" a="1"/>
  <c r="D42" i="14" a="1"/>
  <c r="C74" i="16" a="1"/>
  <c r="AT76" i="14" a="1"/>
  <c r="AF61" i="14" a="1"/>
  <c r="AU65" i="14" a="1"/>
  <c r="H74" i="16" a="1"/>
  <c r="AA15" i="4" a="1"/>
  <c r="U20" i="7" a="1"/>
  <c r="D74" i="16" a="1"/>
  <c r="D70" i="14" a="1"/>
  <c r="G58" i="16" a="1"/>
  <c r="AO75" i="14" a="1"/>
  <c r="H30" i="16" a="1"/>
  <c r="AQ57" i="14" a="1"/>
  <c r="AP32" i="14" a="1"/>
  <c r="AS70" i="14" a="1"/>
  <c r="K60" i="14" a="1"/>
  <c r="C55" i="16" a="1"/>
  <c r="H94" i="16" a="1"/>
  <c r="C76" i="14" a="1"/>
  <c r="AT42" i="14" a="1"/>
  <c r="AU61" i="14" a="1"/>
  <c r="AQ96" i="14" a="1"/>
  <c r="D40" i="16" a="1"/>
  <c r="AK75" i="14" a="1"/>
  <c r="F60" i="14" a="1"/>
  <c r="C30" i="16" a="1"/>
  <c r="K57" i="14" a="1"/>
  <c r="AS61" i="14" a="1"/>
  <c r="AO70" i="14" a="1"/>
  <c r="AB60" i="14" a="1"/>
  <c r="AM65" i="14" a="1"/>
  <c r="AP96" i="14" a="1"/>
  <c r="E75" i="14" a="1"/>
  <c r="AR60" i="14" a="1"/>
  <c r="F75" i="14" a="1"/>
  <c r="AB12" i="4" a="1"/>
  <c r="C63" i="16" a="1"/>
  <c r="AF42" i="14" a="1"/>
  <c r="G60" i="14" a="1"/>
  <c r="C94" i="16" a="1"/>
  <c r="AU60" i="14" a="1"/>
  <c r="AF32" i="14" a="1"/>
  <c r="V19" i="7" a="1"/>
  <c r="E60" i="14" a="1"/>
  <c r="AS32" i="14" a="1"/>
  <c r="C96" i="14" a="1"/>
  <c r="AL42" i="14" a="1"/>
  <c r="G63" i="16" a="1"/>
  <c r="AL32" i="14" a="1"/>
  <c r="AM75" i="14" a="1"/>
  <c r="AP13" i="14" a="1"/>
  <c r="S12" i="7" a="1"/>
  <c r="F58" i="16" a="1"/>
  <c r="AS76" i="14" a="1"/>
  <c r="C68" i="16" a="1"/>
  <c r="G68" i="16" a="1"/>
  <c r="AS57" i="14" a="1"/>
  <c r="AQ70" i="14" a="1"/>
  <c r="E42" i="14" a="1"/>
  <c r="AT61" i="14" a="1"/>
  <c r="S19" i="7" a="1"/>
  <c r="D58" i="16" a="1"/>
  <c r="AO61" i="14" a="1"/>
  <c r="AL76" i="14" a="1"/>
  <c r="AB61" i="14" a="1"/>
  <c r="F42" i="14" a="1"/>
  <c r="F16" i="16" a="1"/>
  <c r="AM18" i="14" a="1"/>
  <c r="AB15" i="4" a="1"/>
  <c r="D55" i="16" a="1"/>
  <c r="AO42" i="14" a="1"/>
  <c r="AR18" i="14" a="1"/>
  <c r="D13" i="14" a="1"/>
  <c r="AC14" i="4" a="1"/>
  <c r="N12" i="7" a="1"/>
  <c r="E96" i="14" a="1"/>
  <c r="AS60" i="14" a="1"/>
  <c r="D63" i="16" a="1"/>
  <c r="K32" i="14" a="1"/>
  <c r="I65" i="14" a="1"/>
  <c r="G82" i="14" a="1"/>
  <c r="R14" i="4" a="1"/>
  <c r="T20" i="7" a="1"/>
  <c r="AR82" i="14" a="1"/>
  <c r="AL13" i="14" a="1"/>
  <c r="U12" i="7" a="1"/>
  <c r="F57" i="14" a="1"/>
  <c r="AQ42" i="14" a="1"/>
  <c r="H58" i="16" a="1"/>
  <c r="AL60" i="14" a="1"/>
  <c r="AN42" i="14" a="1"/>
  <c r="AR42" i="14" a="1"/>
  <c r="AM96" i="14" a="1"/>
  <c r="K76" i="14" a="1"/>
  <c r="AL96" i="14" a="1"/>
  <c r="G75" i="14" a="1"/>
  <c r="F55" i="16" a="1"/>
  <c r="AK96" i="14" a="1"/>
  <c r="AF83" i="14" a="1"/>
  <c r="C103" i="14" a="1"/>
  <c r="AT57" i="14" a="1"/>
  <c r="AQ76" i="14" a="1"/>
  <c r="AS75" i="14" a="1"/>
  <c r="I57" i="14" a="1"/>
  <c r="G74" i="16" a="1"/>
  <c r="G81" i="16" a="1"/>
  <c r="G13" i="14" a="1"/>
  <c r="Y12" i="4"/>
  <c r="U25" i="7" a="1"/>
  <c r="AF76" i="14" a="1"/>
  <c r="E70" i="14" a="1"/>
  <c r="E32" i="14" a="1"/>
  <c r="C70" i="14" a="1"/>
  <c r="I96" i="14" a="1"/>
  <c r="AB42" i="14" a="1"/>
  <c r="K96" i="14" a="1"/>
  <c r="AP42" i="14" a="1"/>
  <c r="AK57" i="14" a="1"/>
  <c r="AR70" i="14" a="1"/>
  <c r="H42" i="14" a="1"/>
  <c r="E26" i="14" a="1"/>
  <c r="D81" i="16" a="1"/>
  <c r="Z14" i="4" a="1"/>
  <c r="G59" i="16" a="1"/>
  <c r="K56" i="14" a="1"/>
  <c r="AR13" i="14" a="1"/>
  <c r="T25" i="7" a="1"/>
  <c r="AP57" i="14" a="1"/>
  <c r="C57" i="14" a="1"/>
  <c r="D30" i="16" a="1"/>
  <c r="I76" i="14" a="1"/>
  <c r="E61" i="14" a="1"/>
  <c r="AF65" i="14" a="1"/>
  <c r="AR96" i="14" a="1"/>
  <c r="AB96" i="14" a="1"/>
  <c r="F68" i="16" a="1"/>
  <c r="AR57" i="14" a="1"/>
  <c r="AM57" i="14" a="1"/>
  <c r="AP61" i="14" a="1"/>
  <c r="I70" i="14" a="1"/>
  <c r="AD57" i="14" a="1"/>
  <c r="H14" i="16" a="1"/>
  <c r="E13" i="14" a="1"/>
  <c r="N25" i="7" a="1"/>
  <c r="AP76" i="14" a="1"/>
  <c r="AD96" i="14" a="1"/>
  <c r="AQ32" i="14" a="1"/>
  <c r="H96" i="14" a="1"/>
  <c r="AN61" i="14" a="1"/>
  <c r="AP75" i="14" a="1"/>
  <c r="D75" i="14" a="1"/>
  <c r="H70" i="14" a="1"/>
  <c r="AN65" i="14" a="1"/>
  <c r="G32" i="14" a="1"/>
  <c r="AF96" i="14" a="1"/>
  <c r="AD76" i="14" a="1"/>
  <c r="F59" i="16" a="1"/>
  <c r="H65" i="14" a="1"/>
  <c r="AK60" i="14" a="1"/>
  <c r="G61" i="14" a="1"/>
  <c r="C80" i="16" a="1"/>
  <c r="S11" i="5" a="1"/>
  <c r="AN76" i="14" a="1"/>
  <c r="AM60" i="14" a="1"/>
  <c r="AR61" i="14" a="1"/>
  <c r="AK32" i="14" a="1"/>
  <c r="AM32" i="14" a="1"/>
  <c r="AT96" i="14" a="1"/>
  <c r="G65" i="14" a="1"/>
  <c r="AT60" i="14" a="1"/>
  <c r="AU32" i="14" a="1"/>
  <c r="AN70" i="14" a="1"/>
  <c r="D57" i="14" a="1"/>
  <c r="T19" i="7" a="1"/>
  <c r="I75" i="14" a="1"/>
  <c r="N19" i="7" a="1"/>
  <c r="H57" i="14" a="1"/>
  <c r="G26" i="14" a="1"/>
  <c r="S12" i="4" a="1"/>
  <c r="U11" i="7" a="1"/>
  <c r="AO65" i="14" a="1"/>
  <c r="F70" i="14" a="1"/>
  <c r="F65" i="14" a="1"/>
  <c r="C73" i="16" a="1"/>
  <c r="D56" i="14" a="1"/>
  <c r="S13" i="4" a="1"/>
  <c r="AP60" i="14" a="1"/>
  <c r="AB57" i="14" a="1"/>
  <c r="D96" i="14" a="1"/>
  <c r="AO57" i="14" a="1"/>
  <c r="G103" i="14" a="1"/>
  <c r="AB14" i="4" a="1"/>
  <c r="T12" i="7" a="1"/>
  <c r="F94" i="16" a="1"/>
  <c r="F32" i="14" a="1"/>
  <c r="AN18" i="1" a="1"/>
  <c r="AU87" i="14" a="1"/>
  <c r="C46" i="16" a="1"/>
  <c r="H39" i="16" a="1"/>
  <c r="AT80" i="14" a="1"/>
  <c r="G41" i="14" a="1"/>
  <c r="AO29" i="14" a="1"/>
  <c r="AU48" i="14" a="1"/>
  <c r="AB88" i="14" a="1"/>
  <c r="AB48" i="14" a="1"/>
  <c r="F86" i="16" a="1"/>
  <c r="AR41" i="14" a="1"/>
  <c r="AM29" i="14" a="1"/>
  <c r="AT78" i="14" a="1"/>
  <c r="AF87" i="14" a="1"/>
  <c r="E35" i="14" a="1"/>
  <c r="C29" i="14" a="1"/>
  <c r="C51" i="14" a="1"/>
  <c r="D80" i="14" a="1"/>
  <c r="AS80" i="14" a="1"/>
  <c r="AN35" i="14" a="1"/>
  <c r="AS88" i="14" a="1"/>
  <c r="AM48" i="14" a="1"/>
  <c r="D91" i="14" a="1"/>
  <c r="AB77" i="14" a="1"/>
  <c r="F20" i="14" a="1"/>
  <c r="AR91" i="14" a="1"/>
  <c r="F91" i="14" a="1"/>
  <c r="K91" i="14" a="1"/>
  <c r="F25" i="14" a="1"/>
  <c r="AQ47" i="14" a="1"/>
  <c r="E77" i="14" a="1"/>
  <c r="AP90" i="14" a="1"/>
  <c r="AO46" i="14" a="1"/>
  <c r="AL47" i="14" a="1"/>
  <c r="AR92" i="14" a="1"/>
  <c r="AU98" i="14" a="1"/>
  <c r="AB46" i="14" a="1"/>
  <c r="AK20" i="14" a="1"/>
  <c r="AR98" i="14" a="1"/>
  <c r="C90" i="16" a="1"/>
  <c r="F98" i="14" a="1"/>
  <c r="AU47" i="14" a="1"/>
  <c r="C46" i="14" a="1"/>
  <c r="I88" i="14" a="1"/>
  <c r="C33" i="16" a="1"/>
  <c r="H76" i="16" a="1"/>
  <c r="G39" i="16" a="1"/>
  <c r="H51" i="14" a="1"/>
  <c r="AQ88" i="14" a="1"/>
  <c r="F29" i="14" a="1"/>
  <c r="E48" i="14" a="1"/>
  <c r="AN87" i="14" a="1"/>
  <c r="G51" i="14" a="1"/>
  <c r="H82" i="16" a="1"/>
  <c r="AO78" i="14" a="1"/>
  <c r="AK84" i="14" a="1"/>
  <c r="AO51" i="14" a="1"/>
  <c r="AF52" i="14" a="1"/>
  <c r="AU90" i="14" a="1"/>
  <c r="AK107" i="14" a="1"/>
  <c r="AD25" i="14" a="1"/>
  <c r="AN77" i="14" a="1"/>
  <c r="C20" i="14" a="1"/>
  <c r="AS107" i="14" a="1"/>
  <c r="G25" i="14" a="1"/>
  <c r="AQ92" i="14" a="1"/>
  <c r="E52" i="14" a="1"/>
  <c r="AP20" i="14" a="1"/>
  <c r="G46" i="14" a="1"/>
  <c r="C92" i="14" a="1"/>
  <c r="F50" i="16" a="1"/>
  <c r="AL90" i="14" a="1"/>
  <c r="K46" i="14" a="1"/>
  <c r="D88" i="16" a="1"/>
  <c r="X18" i="6" a="1"/>
  <c r="Y11" i="6" a="1"/>
  <c r="AP12" i="14" a="1"/>
  <c r="AO21" i="1" a="1"/>
  <c r="AB35" i="14" a="1"/>
  <c r="F33" i="16" a="1"/>
  <c r="K88" i="14" a="1"/>
  <c r="AP41" i="14" a="1"/>
  <c r="G33" i="16" a="1"/>
  <c r="AS29" i="14" a="1"/>
  <c r="AU51" i="14" a="1"/>
  <c r="AS87" i="14" a="1"/>
  <c r="AU88" i="14" a="1"/>
  <c r="AD48" i="14" a="1"/>
  <c r="AR84" i="14" a="1"/>
  <c r="F48" i="14" a="1"/>
  <c r="I78" i="14" a="1"/>
  <c r="E41" i="14" a="1"/>
  <c r="D33" i="16" a="1"/>
  <c r="AO41" i="14" a="1"/>
  <c r="E80" i="14" a="1"/>
  <c r="H80" i="14" a="1"/>
  <c r="G87" i="14" a="1"/>
  <c r="AQ78" i="14" a="1"/>
  <c r="AQ48" i="14" a="1"/>
  <c r="F80" i="14" a="1"/>
  <c r="H27" i="16" a="1"/>
  <c r="D46" i="16" a="1"/>
  <c r="U11" i="4" a="1"/>
  <c r="AO18" i="1" a="1"/>
  <c r="AT51" i="14" a="1"/>
  <c r="AO84" i="14" a="1"/>
  <c r="D88" i="14" a="1"/>
  <c r="E87" i="14" a="1"/>
  <c r="H87" i="14" a="1"/>
  <c r="AL80" i="14" a="1"/>
  <c r="K78" i="14" a="1"/>
  <c r="C87" i="14" a="1"/>
  <c r="AD84" i="14" a="1"/>
  <c r="AN88" i="14" a="1"/>
  <c r="F49" i="16" a="1"/>
  <c r="H46" i="16" a="1"/>
  <c r="G78" i="16" a="1"/>
  <c r="D39" i="16" a="1"/>
  <c r="I29" i="14" a="1"/>
  <c r="I51" i="14" a="1"/>
  <c r="I80" i="14" a="1"/>
  <c r="AP84" i="14" a="1"/>
  <c r="E29" i="14" a="1"/>
  <c r="F87" i="14" a="1"/>
  <c r="AK87" i="14" a="1"/>
  <c r="K51" i="14" a="1"/>
  <c r="C89" i="16" a="1"/>
  <c r="AL52" i="14" a="1"/>
  <c r="AO107" i="14" a="1"/>
  <c r="H89" i="16" a="1"/>
  <c r="E88" i="14" a="1"/>
  <c r="D78" i="16" a="1"/>
  <c r="AM51" i="14" a="1"/>
  <c r="K35" i="14" a="1"/>
  <c r="AK88" i="14" a="1"/>
  <c r="AQ84" i="14" a="1"/>
  <c r="H78" i="16" a="1"/>
  <c r="AP35" i="14" a="1"/>
  <c r="AD51" i="14" a="1"/>
  <c r="AU29" i="14" a="1"/>
  <c r="G46" i="16" a="1"/>
  <c r="AR48" i="14" a="1"/>
  <c r="AL29" i="14" a="1"/>
  <c r="C86" i="16" a="1"/>
  <c r="D86" i="16" a="1"/>
  <c r="AM84" i="14" a="1"/>
  <c r="AN78" i="14" a="1"/>
  <c r="AF78" i="14" a="1"/>
  <c r="AD88" i="14" a="1"/>
  <c r="D51" i="14" a="1"/>
  <c r="D78" i="14" a="1"/>
  <c r="E51" i="14" a="1"/>
  <c r="F51" i="14" a="1"/>
  <c r="AF48" i="14" a="1"/>
  <c r="AN41" i="14" a="1"/>
  <c r="AB84" i="14" a="1"/>
  <c r="AD11" i="4" a="1"/>
  <c r="AO15" i="1" a="1"/>
  <c r="I48" i="14" a="1"/>
  <c r="AF51" i="14" a="1"/>
  <c r="I35" i="14" a="1"/>
  <c r="AD87" i="14" a="1"/>
  <c r="AL84" i="14" a="1"/>
  <c r="F27" i="16" a="1"/>
  <c r="AS35" i="14" a="1"/>
  <c r="AU80" i="14" a="1"/>
  <c r="AP88" i="14" a="1"/>
  <c r="H86" i="16" a="1"/>
  <c r="H78" i="14" a="1"/>
  <c r="AD80" i="14" a="1"/>
  <c r="AM88" i="14" a="1"/>
  <c r="E84" i="14" a="1"/>
  <c r="AF35" i="14" a="1"/>
  <c r="AK51" i="14" a="1"/>
  <c r="AU35" i="14" a="1"/>
  <c r="AP80" i="14" a="1"/>
  <c r="AD46" i="14" a="1"/>
  <c r="AD92" i="14" a="1"/>
  <c r="H90" i="14" a="1"/>
  <c r="C23" i="16" a="1"/>
  <c r="AR46" i="14" a="1"/>
  <c r="G45" i="16" a="1"/>
  <c r="D45" i="16" a="1"/>
  <c r="C50" i="16" a="1"/>
  <c r="AU46" i="14" a="1"/>
  <c r="C90" i="14" a="1"/>
  <c r="AR25" i="14" a="1"/>
  <c r="G52" i="14" a="1"/>
  <c r="AN29" i="14" a="1"/>
  <c r="AK35" i="14" a="1"/>
  <c r="AQ51" i="14" a="1"/>
  <c r="G78" i="14" a="1"/>
  <c r="I41" i="14" a="1"/>
  <c r="F78" i="16" a="1"/>
  <c r="C49" i="16" a="1"/>
  <c r="K41" i="14" a="1"/>
  <c r="AQ80" i="14" a="1"/>
  <c r="C41" i="14" a="1"/>
  <c r="AQ41" i="14" a="1"/>
  <c r="C84" i="14" a="1"/>
  <c r="D87" i="14" a="1"/>
  <c r="AF41" i="14" a="1"/>
  <c r="AL87" i="14" a="1"/>
  <c r="AQ35" i="14" a="1"/>
  <c r="AM78" i="14" a="1"/>
  <c r="C80" i="14" a="1"/>
  <c r="F35" i="14" a="1"/>
  <c r="AN48" i="14" a="1"/>
  <c r="AR78" i="14" a="1"/>
  <c r="D82" i="16" a="1"/>
  <c r="AU41" i="14" a="1"/>
  <c r="AO48" i="14" a="1"/>
  <c r="AS84" i="14" a="1"/>
  <c r="AL41" i="14" a="1"/>
  <c r="AP92" i="14" a="1"/>
  <c r="AU92" i="14" a="1"/>
  <c r="AN107" i="14" a="1"/>
  <c r="I91" i="14" a="1"/>
  <c r="AD91" i="14" a="1"/>
  <c r="AO98" i="14" a="1"/>
  <c r="E92" i="14" a="1"/>
  <c r="AR107" i="14" a="1"/>
  <c r="AP77" i="14" a="1"/>
  <c r="AF46" i="14" a="1"/>
  <c r="G50" i="16" a="1"/>
  <c r="AO25" i="14" a="1"/>
  <c r="AN25" i="14" a="1"/>
  <c r="G18" i="16" a="1"/>
  <c r="AF25" i="14" a="1"/>
  <c r="I47" i="14" a="1"/>
  <c r="D23" i="16" a="1"/>
  <c r="AT29" i="14" a="1"/>
  <c r="AP87" i="14" a="1"/>
  <c r="AK78" i="14" a="1"/>
  <c r="AT88" i="14" a="1"/>
  <c r="AQ29" i="14" a="1"/>
  <c r="AB87" i="14" a="1"/>
  <c r="F39" i="16" a="1"/>
  <c r="G48" i="14" a="1"/>
  <c r="G49" i="16" a="1"/>
  <c r="K80" i="14" a="1"/>
  <c r="AK29" i="14" a="1"/>
  <c r="AQ87" i="14" a="1"/>
  <c r="AN84" i="14" a="1"/>
  <c r="D105" i="16" a="1"/>
  <c r="AN91" i="14" a="1"/>
  <c r="AQ107" i="14" a="1"/>
  <c r="AO90" i="14" a="1"/>
  <c r="AN92" i="14" a="1"/>
  <c r="E98" i="14" a="1"/>
  <c r="H90" i="16" a="1"/>
  <c r="AP107" i="14" a="1"/>
  <c r="E46" i="14" a="1"/>
  <c r="AM25" i="14" a="1"/>
  <c r="C44" i="16" a="1"/>
  <c r="AM77" i="14" a="1"/>
  <c r="F90" i="16" a="1"/>
  <c r="K98" i="14" a="1"/>
  <c r="G91" i="14" a="1"/>
  <c r="E91" i="14" a="1"/>
  <c r="AD98" i="14" a="1"/>
  <c r="Y18" i="6" a="1"/>
  <c r="X25" i="6" a="1"/>
  <c r="AF27" i="14" a="1"/>
  <c r="AO109" i="14" a="1"/>
  <c r="AF109" i="14" a="1"/>
  <c r="G10" i="16" a="1"/>
  <c r="C56" i="16" a="1"/>
  <c r="AL48" i="14" a="1"/>
  <c r="C82" i="16" a="1"/>
  <c r="D35" i="14" a="1"/>
  <c r="F78" i="14" a="1"/>
  <c r="AO80" i="14" a="1"/>
  <c r="C48" i="14" a="1"/>
  <c r="K48" i="14" a="1"/>
  <c r="AL51" i="14" a="1"/>
  <c r="H88" i="14" a="1"/>
  <c r="AF80" i="14" a="1"/>
  <c r="AS51" i="14" a="1"/>
  <c r="D76" i="16" a="1"/>
  <c r="F84" i="14" a="1"/>
  <c r="AB29" i="14" a="1"/>
  <c r="F76" i="16" a="1"/>
  <c r="AM87" i="14" a="1"/>
  <c r="AK80" i="14" a="1"/>
  <c r="E78" i="14" a="1"/>
  <c r="AR87" i="14" a="1"/>
  <c r="D41" i="14" a="1"/>
  <c r="D25" i="14" a="1"/>
  <c r="G75" i="16" a="1"/>
  <c r="H46" i="14" a="1"/>
  <c r="I98" i="14" a="1"/>
  <c r="AP46" i="14" a="1"/>
  <c r="AM91" i="14" a="1"/>
  <c r="AF98" i="14" a="1"/>
  <c r="F46" i="14" a="1"/>
  <c r="G89" i="16" a="1"/>
  <c r="AO47" i="14" a="1"/>
  <c r="C25" i="14" a="1"/>
  <c r="G90" i="14" a="1"/>
  <c r="D89" i="16" a="1"/>
  <c r="C105" i="14" a="1"/>
  <c r="AU105" i="14" a="1"/>
  <c r="G56" i="16" a="1"/>
  <c r="F93" i="14" a="1"/>
  <c r="I100" i="14" a="1"/>
  <c r="G98" i="16" a="1"/>
  <c r="C37" i="16" a="1"/>
  <c r="D103" i="16" a="1"/>
  <c r="C27" i="14" a="1"/>
  <c r="AM100" i="14" a="1"/>
  <c r="E58" i="14" a="1"/>
  <c r="H25" i="16" a="1"/>
  <c r="AB100" i="14" a="1"/>
  <c r="AM93" i="14" a="1"/>
  <c r="G105" i="14" a="1"/>
  <c r="AO12" i="14" a="1"/>
  <c r="H58" i="14" a="1"/>
  <c r="AR27" i="14" a="1"/>
  <c r="AS48" i="14" a="1"/>
  <c r="H84" i="14" a="1"/>
  <c r="AR35" i="14" a="1"/>
  <c r="G80" i="14" a="1"/>
  <c r="AT87" i="14" a="1"/>
  <c r="D49" i="16" a="1"/>
  <c r="AO35" i="14" a="1"/>
  <c r="AU78" i="14" a="1"/>
  <c r="G23" i="16" a="1"/>
  <c r="AO77" i="14" a="1"/>
  <c r="D52" i="14" a="1"/>
  <c r="AM52" i="14" a="1"/>
  <c r="AF91" i="14" a="1"/>
  <c r="AN46" i="14" a="1"/>
  <c r="H107" i="14" a="1"/>
  <c r="H47" i="14" a="1"/>
  <c r="AT98" i="14" a="1"/>
  <c r="AK92" i="14" a="1"/>
  <c r="Y24" i="6" a="1"/>
  <c r="X26" i="6" a="1"/>
  <c r="AR39" i="14" a="1"/>
  <c r="G67" i="14" a="1"/>
  <c r="F105" i="14" a="1"/>
  <c r="AR109" i="14" a="1"/>
  <c r="H65" i="16" a="1"/>
  <c r="AR50" i="14" a="1"/>
  <c r="D85" i="16" a="1"/>
  <c r="AR51" i="14" a="1"/>
  <c r="AR80" i="14" a="1"/>
  <c r="F46" i="16" a="1"/>
  <c r="H85" i="16" a="1"/>
  <c r="C39" i="16" a="1"/>
  <c r="AD78" i="14" a="1"/>
  <c r="D90" i="14" a="1"/>
  <c r="C107" i="14" a="1"/>
  <c r="K90" i="14" a="1"/>
  <c r="G44" i="16" a="1"/>
  <c r="D98" i="14" a="1"/>
  <c r="G105" i="16" a="1"/>
  <c r="AM90" i="14" a="1"/>
  <c r="AN52" i="14" a="1"/>
  <c r="H44" i="16" a="1"/>
  <c r="G88" i="16" a="1"/>
  <c r="AL46" i="14" a="1"/>
  <c r="D47" i="14" a="1"/>
  <c r="K20" i="14" a="1"/>
  <c r="AP93" i="14" a="1"/>
  <c r="AL67" i="14" a="1"/>
  <c r="H91" i="16" a="1"/>
  <c r="C50" i="14" a="1"/>
  <c r="AM39" i="14" a="1"/>
  <c r="AT12" i="14" a="1"/>
  <c r="G37" i="16" a="1"/>
  <c r="E39" i="14" a="1"/>
  <c r="F100" i="14" a="1"/>
  <c r="AQ12" i="14" a="1"/>
  <c r="AN58" i="14" a="1"/>
  <c r="D56" i="16" a="1"/>
  <c r="AN12" i="14" a="1"/>
  <c r="K39" i="14" a="1"/>
  <c r="AR93" i="14" a="1"/>
  <c r="I27" i="14" a="1"/>
  <c r="AB12" i="14" a="1"/>
  <c r="AP100" i="14" a="1"/>
  <c r="AT27" i="14" a="1"/>
  <c r="AR58" i="14" a="1"/>
  <c r="G50" i="14" a="1"/>
  <c r="C91" i="16" a="1"/>
  <c r="D12" i="14" a="1"/>
  <c r="AT39" i="14" a="1"/>
  <c r="AS67" i="14" a="1"/>
  <c r="H109" i="14" a="1"/>
  <c r="S20" i="1" a="1"/>
  <c r="AC20" i="1" a="1"/>
  <c r="AC18" i="1" a="1"/>
  <c r="E33" i="14" a="1"/>
  <c r="G38" i="14" a="1"/>
  <c r="AQ55" i="14" a="1"/>
  <c r="AB110" i="14" a="1"/>
  <c r="AE11" i="4" a="1"/>
  <c r="AB80" i="14" a="1"/>
  <c r="AD41" i="14" a="1"/>
  <c r="AO87" i="14" a="1"/>
  <c r="AD35" i="14" a="1"/>
  <c r="G27" i="16" a="1"/>
  <c r="AS78" i="14" a="1"/>
  <c r="AB92" i="14" a="1"/>
  <c r="I77" i="14" a="1"/>
  <c r="AF77" i="14" a="1"/>
  <c r="AF90" i="14" a="1"/>
  <c r="AN98" i="14" a="1"/>
  <c r="H77" i="14" a="1"/>
  <c r="AS91" i="14" a="1"/>
  <c r="D44" i="16" a="1"/>
  <c r="F45" i="16" a="1"/>
  <c r="G90" i="16" a="1"/>
  <c r="AT92" i="14" a="1"/>
  <c r="G77" i="14" a="1"/>
  <c r="X12" i="6" a="1"/>
  <c r="X13" i="6" a="1"/>
  <c r="AF50" i="14" a="1"/>
  <c r="AU58" i="14" a="1"/>
  <c r="G58" i="14" a="1"/>
  <c r="H103" i="16" a="1"/>
  <c r="E27" i="14" a="1"/>
  <c r="I109" i="14" a="1"/>
  <c r="K87" i="14" a="1"/>
  <c r="AP51" i="14" a="1"/>
  <c r="AT84" i="14" a="1"/>
  <c r="AP48" i="14" a="1"/>
  <c r="H18" i="16" a="1"/>
  <c r="AB91" i="14" a="1"/>
  <c r="AN90" i="14" a="1"/>
  <c r="AN21" i="1" a="1"/>
  <c r="C35" i="14" a="1"/>
  <c r="AR88" i="14" a="1"/>
  <c r="C78" i="16" a="1"/>
  <c r="AP78" i="14" a="1"/>
  <c r="AK41" i="14" a="1"/>
  <c r="AM80" i="14" a="1"/>
  <c r="AR29" i="14" a="1"/>
  <c r="C88" i="16" a="1"/>
  <c r="AD20" i="14" a="1"/>
  <c r="AS25" i="14" a="1"/>
  <c r="G20" i="14" a="1"/>
  <c r="AL77" i="14" a="1"/>
  <c r="AO91" i="14" a="1"/>
  <c r="AO52" i="14" a="1"/>
  <c r="AT25" i="14" a="1"/>
  <c r="AS90" i="14" a="1"/>
  <c r="K92" i="14" a="1"/>
  <c r="AD77" i="14" a="1"/>
  <c r="D92" i="14" a="1"/>
  <c r="AS98" i="14" a="1"/>
  <c r="F105" i="16" a="1"/>
  <c r="AU25" i="14" a="1"/>
  <c r="X24" i="6" a="1"/>
  <c r="Y13" i="6" a="1"/>
  <c r="AF12" i="14" a="1"/>
  <c r="AD50" i="14" a="1"/>
  <c r="D25" i="16" a="1"/>
  <c r="AD58" i="14" a="1"/>
  <c r="I93" i="14" a="1"/>
  <c r="AL93" i="14" a="1"/>
  <c r="AN15" i="1" a="1"/>
  <c r="I84" i="14" a="1"/>
  <c r="H48" i="14" a="1"/>
  <c r="G29" i="14" a="1"/>
  <c r="F82" i="16" a="1"/>
  <c r="AB90" i="14" a="1"/>
  <c r="K107" i="14" a="1"/>
  <c r="E47" i="14" a="1"/>
  <c r="AR47" i="14" a="1"/>
  <c r="I25" i="14" a="1"/>
  <c r="AQ46" i="14" a="1"/>
  <c r="AP98" i="14" a="1"/>
  <c r="AK91" i="14" a="1"/>
  <c r="AO20" i="14" a="1"/>
  <c r="AB52" i="14" a="1"/>
  <c r="F52" i="14" a="1"/>
  <c r="K52" i="14" a="1"/>
  <c r="AU107" i="14" a="1"/>
  <c r="AT46" i="14" a="1"/>
  <c r="AL91" i="14" a="1"/>
  <c r="AN39" i="14" a="1"/>
  <c r="D109" i="14" a="1"/>
  <c r="I105" i="14" a="1"/>
  <c r="AL100" i="14" a="1"/>
  <c r="AB50" i="14" a="1"/>
  <c r="AU50" i="14" a="1"/>
  <c r="C93" i="14" a="1"/>
  <c r="AO58" i="14" a="1"/>
  <c r="E50" i="14" a="1"/>
  <c r="AO100" i="14" a="1"/>
  <c r="G103" i="16" a="1"/>
  <c r="AP109" i="14" a="1"/>
  <c r="AF39" i="14" a="1"/>
  <c r="AK48" i="14" a="1"/>
  <c r="AF88" i="14" a="1"/>
  <c r="AM41" i="14" a="1"/>
  <c r="G82" i="16" a="1"/>
  <c r="AO88" i="14" a="1"/>
  <c r="H49" i="16" a="1"/>
  <c r="G86" i="16" a="1"/>
  <c r="AS41" i="14" a="1"/>
  <c r="H91" i="14" a="1"/>
  <c r="F90" i="14" a="1"/>
  <c r="E107" i="14" a="1"/>
  <c r="C91" i="14" a="1"/>
  <c r="AP91" i="14" a="1"/>
  <c r="AK52" i="14" a="1"/>
  <c r="F47" i="14" a="1"/>
  <c r="AP52" i="14" a="1"/>
  <c r="AP25" i="14" a="1"/>
  <c r="AS92" i="14" a="1"/>
  <c r="AL25" i="14" a="1"/>
  <c r="AL78" i="14" a="1"/>
  <c r="G84" i="14" a="1"/>
  <c r="AT20" i="14" a="1"/>
  <c r="AL98" i="14" a="1"/>
  <c r="AF20" i="14" a="1"/>
  <c r="AB25" i="14" a="1"/>
  <c r="AK90" i="14" a="1"/>
  <c r="F23" i="16" a="1"/>
  <c r="H50" i="16" a="1"/>
  <c r="AP47" i="14" a="1"/>
  <c r="Y25" i="6" a="1"/>
  <c r="I50" i="14" a="1"/>
  <c r="C107" i="16" a="1"/>
  <c r="AT41" i="14" a="1"/>
  <c r="AL35" i="14" a="1"/>
  <c r="H41" i="14" a="1"/>
  <c r="C78" i="14" a="1"/>
  <c r="D84" i="14" a="1"/>
  <c r="AF29" i="14" a="1"/>
  <c r="G35" i="14" a="1"/>
  <c r="AT91" i="14" a="1"/>
  <c r="G96" i="16" a="1"/>
  <c r="I52" i="14" a="1"/>
  <c r="H45" i="16" a="1"/>
  <c r="AB98" i="14" a="1"/>
  <c r="F92" i="14" a="1"/>
  <c r="G47" i="14" a="1"/>
  <c r="AR77" i="14" a="1"/>
  <c r="D46" i="14" a="1"/>
  <c r="C75" i="16" a="1"/>
  <c r="G98" i="14" a="1"/>
  <c r="AS77" i="14" a="1"/>
  <c r="AU52" i="14" a="1"/>
  <c r="H105" i="16" a="1"/>
  <c r="AT35" i="14" a="1"/>
  <c r="AL88" i="14" a="1"/>
  <c r="AU84" i="14" a="1"/>
  <c r="AN51" i="14" a="1"/>
  <c r="H92" i="14" a="1"/>
  <c r="D107" i="14" a="1"/>
  <c r="H88" i="16" a="1"/>
  <c r="AL107" i="14" a="1"/>
  <c r="AD107" i="14" a="1"/>
  <c r="AL20" i="14" a="1"/>
  <c r="F77" i="14" a="1"/>
  <c r="AK46" i="14" a="1"/>
  <c r="I20" i="14" a="1"/>
  <c r="AB107" i="14" a="1"/>
  <c r="AT77" i="14" a="1"/>
  <c r="AS20" i="14" a="1"/>
  <c r="F96" i="16" a="1"/>
  <c r="X17" i="6" a="1"/>
  <c r="AU67" i="14" a="1"/>
  <c r="AO39" i="14" a="1"/>
  <c r="AS93" i="14" a="1"/>
  <c r="AS50" i="14" a="1"/>
  <c r="AO27" i="14" a="1"/>
  <c r="D58" i="14" a="1"/>
  <c r="I12" i="14" a="1"/>
  <c r="E93" i="14" a="1"/>
  <c r="AS100" i="14" a="1"/>
  <c r="AQ67" i="14" a="1"/>
  <c r="F58" i="14" a="1"/>
  <c r="H93" i="14" a="1"/>
  <c r="AR100" i="14" a="1"/>
  <c r="AM12" i="14" a="1"/>
  <c r="AS109" i="14" a="1"/>
  <c r="E12" i="14" a="1"/>
  <c r="K12" i="14" a="1"/>
  <c r="C58" i="14" a="1"/>
  <c r="H27" i="14" a="1"/>
  <c r="D48" i="14" a="1"/>
  <c r="C85" i="16" a="1"/>
  <c r="D29" i="14" a="1"/>
  <c r="C88" i="14" a="1"/>
  <c r="C76" i="16" a="1"/>
  <c r="D27" i="16" a="1"/>
  <c r="AU91" i="14" a="1"/>
  <c r="AU77" i="14" a="1"/>
  <c r="AT90" i="14" a="1"/>
  <c r="AF107" i="14" a="1"/>
  <c r="C52" i="14" a="1"/>
  <c r="AQ52" i="14" a="1"/>
  <c r="AQ91" i="14" a="1"/>
  <c r="AR52" i="14" a="1"/>
  <c r="AR20" i="14" a="1"/>
  <c r="I46" i="14" a="1"/>
  <c r="AD52" i="14" a="1"/>
  <c r="H25" i="14" a="1"/>
  <c r="AL92" i="14" a="1"/>
  <c r="AT48" i="14" a="1"/>
  <c r="I87" i="14" a="1"/>
  <c r="H33" i="16" a="1"/>
  <c r="G76" i="16" a="1"/>
  <c r="AF84" i="14" a="1"/>
  <c r="AB41" i="14" a="1"/>
  <c r="G85" i="16" a="1"/>
  <c r="AP29" i="14" a="1"/>
  <c r="F89" i="16" a="1"/>
  <c r="K77" i="14" a="1"/>
  <c r="AO92" i="14" a="1"/>
  <c r="F44" i="16" a="1"/>
  <c r="AM20" i="14" a="1"/>
  <c r="E109" i="14" a="1"/>
  <c r="AO105" i="14" a="1"/>
  <c r="C67" i="14" a="1"/>
  <c r="AD100" i="14" a="1"/>
  <c r="K27" i="14" a="1"/>
  <c r="AM27" i="14" a="1"/>
  <c r="AK100" i="14" a="1"/>
  <c r="H67" i="14" a="1"/>
  <c r="C100" i="14" a="1"/>
  <c r="F25" i="16" a="1"/>
  <c r="G15" i="1"/>
  <c r="AC19" i="1" a="1"/>
  <c r="R15" i="1" a="1"/>
  <c r="I23" i="6" a="1"/>
  <c r="D23" i="6" a="1"/>
  <c r="D53" i="14" a="1"/>
  <c r="I53" i="14" a="1"/>
  <c r="F77" i="16" a="1"/>
  <c r="G92" i="14" a="1"/>
  <c r="C77" i="14" a="1"/>
  <c r="AQ25" i="14" a="1"/>
  <c r="AQ100" i="14" a="1"/>
  <c r="AR12" i="14" a="1"/>
  <c r="F39" i="14" a="1"/>
  <c r="I39" i="14" a="1"/>
  <c r="AT50" i="14" a="1"/>
  <c r="AS105" i="14" a="1"/>
  <c r="K109" i="14" a="1"/>
  <c r="C109" i="14" a="1"/>
  <c r="E100" i="14" a="1"/>
  <c r="AD39" i="14" a="1"/>
  <c r="F98" i="16" a="1"/>
  <c r="G39" i="14" a="1"/>
  <c r="Z21" i="1" a="1"/>
  <c r="X20" i="7" a="1"/>
  <c r="F18" i="6" a="1"/>
  <c r="E26" i="6" a="1"/>
  <c r="AF23" i="14" a="1"/>
  <c r="C87" i="16" a="1"/>
  <c r="C62" i="16" a="1"/>
  <c r="AN79" i="14" a="1"/>
  <c r="AT33" i="14" a="1"/>
  <c r="E108" i="14" a="1"/>
  <c r="AD31" i="14" a="1"/>
  <c r="D110" i="14" a="1"/>
  <c r="AD40" i="14" a="1"/>
  <c r="H21" i="14" a="1"/>
  <c r="AK110" i="14" a="1"/>
  <c r="F21" i="16" a="1"/>
  <c r="AD72" i="14" a="1"/>
  <c r="AS108" i="14" a="1"/>
  <c r="AU54" i="14" a="1"/>
  <c r="I31" i="14" a="1"/>
  <c r="K89" i="14" a="1"/>
  <c r="G55" i="14" a="1"/>
  <c r="AQ40" i="14" a="1"/>
  <c r="D54" i="14" a="1"/>
  <c r="AR110" i="14" a="1"/>
  <c r="G86" i="14" a="1"/>
  <c r="AT55" i="14" a="1"/>
  <c r="AN53" i="14" a="1"/>
  <c r="AF33" i="14" a="1"/>
  <c r="AP40" i="14" a="1"/>
  <c r="AT110" i="14" a="1"/>
  <c r="C86" i="14" a="1"/>
  <c r="C79" i="14" a="1"/>
  <c r="K53" i="14" a="1"/>
  <c r="G108" i="16" a="1"/>
  <c r="K72" i="14" a="1"/>
  <c r="AB53" i="14" a="1"/>
  <c r="D86" i="14" a="1"/>
  <c r="F84" i="16" a="1"/>
  <c r="H36" i="16" a="1"/>
  <c r="I90" i="14" a="1"/>
  <c r="D90" i="16" a="1"/>
  <c r="AQ90" i="14" a="1"/>
  <c r="F88" i="16" a="1"/>
  <c r="AK47" i="14" a="1"/>
  <c r="X11" i="6" a="1"/>
  <c r="F37" i="16" a="1"/>
  <c r="D107" i="16" a="1"/>
  <c r="AM58" i="14" a="1"/>
  <c r="F67" i="14" a="1"/>
  <c r="H37" i="16" a="1"/>
  <c r="AB58" i="14" a="1"/>
  <c r="F91" i="16" a="1"/>
  <c r="G65" i="16" a="1"/>
  <c r="AT100" i="14" a="1"/>
  <c r="AK12" i="14" a="1"/>
  <c r="F10" i="16" a="1"/>
  <c r="S21" i="1" a="1"/>
  <c r="AC21" i="1" a="1"/>
  <c r="AB20" i="1" a="1"/>
  <c r="E23" i="6" a="1"/>
  <c r="F12" i="6" a="1"/>
  <c r="K29" i="14" a="1"/>
  <c r="AB78" i="14" a="1"/>
  <c r="I107" i="14" a="1"/>
  <c r="C47" i="14" a="1"/>
  <c r="E90" i="14" a="1"/>
  <c r="AU12" i="14" a="1"/>
  <c r="AL39" i="14" a="1"/>
  <c r="G100" i="14" a="1"/>
  <c r="AQ109" i="14" a="1"/>
  <c r="AU39" i="14" a="1"/>
  <c r="E67" i="14" a="1"/>
  <c r="AM109" i="14" a="1"/>
  <c r="AQ105" i="14" a="1"/>
  <c r="D98" i="16" a="1"/>
  <c r="G25" i="16" a="1"/>
  <c r="AO22" i="1" a="1"/>
  <c r="R21" i="1" a="1"/>
  <c r="X15" i="7" a="1"/>
  <c r="X16" i="7" a="1"/>
  <c r="I26" i="6" a="1"/>
  <c r="AT107" i="14" a="1"/>
  <c r="AU20" i="14" a="1"/>
  <c r="AM107" i="14" a="1"/>
  <c r="D77" i="14" a="1"/>
  <c r="K47" i="14" a="1"/>
  <c r="H105" i="14" a="1"/>
  <c r="AP39" i="14" a="1"/>
  <c r="AK39" i="14" a="1"/>
  <c r="AB27" i="14" a="1"/>
  <c r="G27" i="14" a="1"/>
  <c r="AQ50" i="14" a="1"/>
  <c r="AP27" i="14" a="1"/>
  <c r="S19" i="1" a="1"/>
  <c r="Z15" i="1" a="1"/>
  <c r="Z20" i="1" a="1"/>
  <c r="AN14" i="1" a="1"/>
  <c r="F41" i="14" a="1"/>
  <c r="AD29" i="14" a="1"/>
  <c r="D20" i="14" a="1"/>
  <c r="AT47" i="14" a="1"/>
  <c r="C96" i="16" a="1"/>
  <c r="H75" i="16" a="1"/>
  <c r="AQ20" i="14" a="1"/>
  <c r="AB47" i="14" a="1"/>
  <c r="AF92" i="14" a="1"/>
  <c r="F107" i="14" a="1"/>
  <c r="AN67" i="14" a="1"/>
  <c r="AK58" i="14" a="1"/>
  <c r="AN93" i="14" a="1"/>
  <c r="H98" i="16" a="1"/>
  <c r="AQ93" i="14" a="1"/>
  <c r="AP58" i="14" a="1"/>
  <c r="H107" i="16" a="1"/>
  <c r="S15" i="1" a="1"/>
  <c r="W15" i="7" a="1"/>
  <c r="F23" i="6" a="1"/>
  <c r="F16" i="6" a="1"/>
  <c r="H87" i="16" a="1"/>
  <c r="AF40" i="14" a="1"/>
  <c r="G106" i="16" a="1"/>
  <c r="I86" i="14" a="1"/>
  <c r="AM35" i="14" a="1"/>
  <c r="AN20" i="14" a="1"/>
  <c r="K105" i="14" a="1"/>
  <c r="AK27" i="14" a="1"/>
  <c r="D67" i="14" a="1"/>
  <c r="AL12" i="14" a="1"/>
  <c r="H10" i="16" a="1"/>
  <c r="AO67" i="14" a="1"/>
  <c r="I58" i="14" a="1"/>
  <c r="H50" i="14" a="1"/>
  <c r="AU93" i="14" a="1"/>
  <c r="C10" i="16" a="1"/>
  <c r="AL58" i="14" a="1"/>
  <c r="AT105" i="14" a="1"/>
  <c r="AP67" i="14" a="1"/>
  <c r="AN22" i="1" a="1"/>
  <c r="AA21" i="1" a="1"/>
  <c r="AA15" i="1" a="1"/>
  <c r="W16" i="7" a="1"/>
  <c r="D18" i="6" a="1"/>
  <c r="C23" i="14" a="1"/>
  <c r="AL89" i="14" a="1"/>
  <c r="K74" i="14" a="1"/>
  <c r="D31" i="14" a="1"/>
  <c r="C54" i="14" a="1"/>
  <c r="G9" i="16" a="1"/>
  <c r="H21" i="16" a="1"/>
  <c r="AT31" i="14" a="1"/>
  <c r="I55" i="14" a="1"/>
  <c r="AL64" i="14" a="1"/>
  <c r="AB51" i="14" a="1"/>
  <c r="C18" i="16" a="1"/>
  <c r="H98" i="14" a="1"/>
  <c r="AQ98" i="14" a="1"/>
  <c r="F18" i="16" a="1"/>
  <c r="AT52" i="14" a="1"/>
  <c r="E20" i="14" a="1"/>
  <c r="C65" i="16" a="1"/>
  <c r="AB39" i="14" a="1"/>
  <c r="D48" i="16" a="1"/>
  <c r="AQ58" i="14" a="1"/>
  <c r="AD12" i="14" a="1"/>
  <c r="D93" i="14" a="1"/>
  <c r="AR105" i="14" a="1"/>
  <c r="AB18" i="1" a="1"/>
  <c r="AO14" i="1" a="1"/>
  <c r="G26" i="6" a="1"/>
  <c r="F26" i="6" a="1"/>
  <c r="AO74" i="14" a="1"/>
  <c r="G88" i="14" a="1"/>
  <c r="AF47" i="14" a="1"/>
  <c r="H96" i="16" a="1"/>
  <c r="AN47" i="14" a="1"/>
  <c r="AP105" i="14" a="1"/>
  <c r="D100" i="14" a="1"/>
  <c r="D91" i="16" a="1"/>
  <c r="AK105" i="14" a="1"/>
  <c r="E105" i="14" a="1"/>
  <c r="AQ39" i="14" a="1"/>
  <c r="AN100" i="14" a="1"/>
  <c r="H100" i="14" a="1"/>
  <c r="G48" i="16" a="1"/>
  <c r="AK93" i="14" a="1"/>
  <c r="AN105" i="14" a="1"/>
  <c r="AS27" i="14" a="1"/>
  <c r="G93" i="14" a="1"/>
  <c r="S18" i="1" a="1"/>
  <c r="AB15" i="1" a="1"/>
  <c r="R19" i="1" a="1"/>
  <c r="AD15" i="4" a="1"/>
  <c r="I16" i="6" a="1"/>
  <c r="AK55" i="14" a="1"/>
  <c r="AQ108" i="14" a="1"/>
  <c r="E68" i="14" a="1"/>
  <c r="C27" i="16" a="1"/>
  <c r="D75" i="16" a="1"/>
  <c r="AS46" i="14" a="1"/>
  <c r="AD47" i="14" a="1"/>
  <c r="D18" i="16" a="1"/>
  <c r="Y12" i="6" a="1"/>
  <c r="AD67" i="14" a="1"/>
  <c r="C98" i="16" a="1"/>
  <c r="AD105" i="14" a="1"/>
  <c r="AT67" i="14" a="1"/>
  <c r="K100" i="14" a="1"/>
  <c r="D50" i="14" a="1"/>
  <c r="AK50" i="14" a="1"/>
  <c r="AR67" i="14" a="1"/>
  <c r="AA19" i="1" a="1"/>
  <c r="AE15" i="4" a="1"/>
  <c r="E16" i="6" a="1"/>
  <c r="D12" i="6" a="1"/>
  <c r="AT54" i="14" a="1"/>
  <c r="AM21" i="14" a="1"/>
  <c r="AS31" i="14" a="1"/>
  <c r="AM72" i="14" a="1"/>
  <c r="AD55" i="14" a="1"/>
  <c r="I54" i="14" a="1"/>
  <c r="AN68" i="14" a="1"/>
  <c r="AP55" i="14" a="1"/>
  <c r="AB23" i="14" a="1"/>
  <c r="K55" i="14" a="1"/>
  <c r="AB86" i="14" a="1"/>
  <c r="F88" i="14" a="1"/>
  <c r="H35" i="14" a="1"/>
  <c r="AD90" i="14" a="1"/>
  <c r="AS47" i="14" a="1"/>
  <c r="AK77" i="14" a="1"/>
  <c r="AL109" i="14" a="1"/>
  <c r="AD109" i="14" a="1"/>
  <c r="D37" i="16" a="1"/>
  <c r="AD93" i="14" a="1"/>
  <c r="H12" i="14" a="1"/>
  <c r="AU109" i="14" a="1"/>
  <c r="D27" i="14" a="1"/>
  <c r="R20" i="1" a="1"/>
  <c r="G20" i="1"/>
  <c r="X11" i="7" a="1"/>
  <c r="D16" i="6" a="1"/>
  <c r="H29" i="14" a="1"/>
  <c r="K84" i="14" a="1"/>
  <c r="C105" i="16" a="1"/>
  <c r="G107" i="14" a="1"/>
  <c r="D96" i="16" a="1"/>
  <c r="D50" i="16" a="1"/>
  <c r="E25" i="14" a="1"/>
  <c r="Y17" i="6" a="1"/>
  <c r="I67" i="14" a="1"/>
  <c r="K50" i="14" a="1"/>
  <c r="AK67" i="14" a="1"/>
  <c r="G91" i="16" a="1"/>
  <c r="AL27" i="14" a="1"/>
  <c r="AR90" i="14" a="1"/>
  <c r="H20" i="14" a="1"/>
  <c r="AM98" i="14" a="1"/>
  <c r="C98" i="14" a="1"/>
  <c r="AN109" i="14" a="1"/>
  <c r="AB109" i="14" a="1"/>
  <c r="AK109" i="14" a="1"/>
  <c r="AF93" i="14" a="1"/>
  <c r="D10" i="16" a="1"/>
  <c r="AL105" i="14" a="1"/>
  <c r="F65" i="16" a="1"/>
  <c r="C25" i="16" a="1"/>
  <c r="AB19" i="1" a="1"/>
  <c r="W23" i="7" a="1"/>
  <c r="AN80" i="14" a="1"/>
  <c r="H23" i="16" a="1"/>
  <c r="AK25" i="14" a="1"/>
  <c r="AK98" i="14" a="1"/>
  <c r="AM47" i="14" a="1"/>
  <c r="Y26" i="6" a="1"/>
  <c r="AM50" i="14" a="1"/>
  <c r="G107" i="16" a="1"/>
  <c r="AO93" i="14" a="1"/>
  <c r="D39" i="14" a="1"/>
  <c r="AS39" i="14" a="1"/>
  <c r="AM67" i="14" a="1"/>
  <c r="F27" i="14" a="1"/>
  <c r="AF67" i="14" a="1"/>
  <c r="F107" i="16" a="1"/>
  <c r="G21" i="1"/>
  <c r="I18" i="6" a="1"/>
  <c r="AS110" i="14" a="1"/>
  <c r="C9" i="16" a="1"/>
  <c r="F29" i="16" a="1"/>
  <c r="F52" i="16" a="1"/>
  <c r="AN110" i="14" a="1"/>
  <c r="AK38" i="14" a="1"/>
  <c r="AO38" i="14" a="1"/>
  <c r="D53" i="16" a="1"/>
  <c r="AN40" i="14" a="1"/>
  <c r="AS33" i="14" a="1"/>
  <c r="AQ110" i="14" a="1"/>
  <c r="AB38" i="14" a="1"/>
  <c r="H54" i="14" a="1"/>
  <c r="E54" i="14" a="1"/>
  <c r="AO33" i="14" a="1"/>
  <c r="C108" i="14" a="1"/>
  <c r="AK79" i="14" a="1"/>
  <c r="AD23" i="14" a="1"/>
  <c r="F9" i="16" a="1"/>
  <c r="AK11" i="14" a="1"/>
  <c r="H29" i="16" a="1"/>
  <c r="AU55" i="14" a="1"/>
  <c r="AM54" i="14" a="1"/>
  <c r="AB79" i="14" a="1"/>
  <c r="AK33" i="14" a="1"/>
  <c r="D38" i="14" a="1"/>
  <c r="G51" i="16" a="1"/>
  <c r="AS54" i="14" a="1"/>
  <c r="F70" i="16" a="1"/>
  <c r="D33" i="14" a="1"/>
  <c r="H70" i="16" a="1"/>
  <c r="AK40" i="14" a="1"/>
  <c r="AO11" i="14" a="1"/>
  <c r="AF11" i="14" a="1"/>
  <c r="AS68" i="14" a="1"/>
  <c r="AM68" i="14" a="1"/>
  <c r="AT38" i="14" a="1"/>
  <c r="C21" i="14" a="1"/>
  <c r="AS52" i="14" a="1"/>
  <c r="AB105" i="14" a="1"/>
  <c r="AB93" i="14" a="1"/>
  <c r="E18" i="6" a="1"/>
  <c r="H55" i="14" a="1"/>
  <c r="AO89" i="14" a="1"/>
  <c r="F23" i="14" a="1"/>
  <c r="AF108" i="14" a="1"/>
  <c r="AF64" i="14" a="1"/>
  <c r="D52" i="16" a="1"/>
  <c r="AP74" i="14" a="1"/>
  <c r="AL23" i="14" a="1"/>
  <c r="F62" i="16" a="1"/>
  <c r="AR53" i="14" a="1"/>
  <c r="H38" i="14" a="1"/>
  <c r="AR72" i="14" a="1"/>
  <c r="AS55" i="14" a="1"/>
  <c r="AO79" i="14" a="1"/>
  <c r="G79" i="14" a="1"/>
  <c r="AP38" i="14" a="1"/>
  <c r="AR68" i="14" a="1"/>
  <c r="C106" i="16" a="1"/>
  <c r="AO40" i="14" a="1"/>
  <c r="D23" i="14" a="1"/>
  <c r="K64" i="14" a="1"/>
  <c r="F74" i="14" a="1"/>
  <c r="C45" i="16" a="1"/>
  <c r="AS58" i="14" a="1"/>
  <c r="H39" i="14" a="1"/>
  <c r="AN50" i="14" a="1"/>
  <c r="AQ54" i="14" a="1"/>
  <c r="D74" i="14" a="1"/>
  <c r="AD54" i="14" a="1"/>
  <c r="AF89" i="14" a="1"/>
  <c r="AS64" i="14" a="1"/>
  <c r="G36" i="16" a="1"/>
  <c r="H11" i="14" a="1"/>
  <c r="AD33" i="14" a="1"/>
  <c r="G62" i="16" a="1"/>
  <c r="AP31" i="14" a="1"/>
  <c r="H64" i="14" a="1"/>
  <c r="AT40" i="14" a="1"/>
  <c r="AR23" i="14" a="1"/>
  <c r="AP11" i="14" a="1"/>
  <c r="E21" i="14" a="1"/>
  <c r="AL55" i="14" a="1"/>
  <c r="H23" i="14" a="1"/>
  <c r="G53" i="14" a="1"/>
  <c r="AD68" i="14" a="1"/>
  <c r="F85" i="16" a="1"/>
  <c r="G12" i="14" a="1"/>
  <c r="AM105" i="14" a="1"/>
  <c r="AF100" i="14" a="1"/>
  <c r="K58" i="14" a="1"/>
  <c r="R18" i="1" a="1"/>
  <c r="E12" i="6" a="1"/>
  <c r="F89" i="14" a="1"/>
  <c r="AR86" i="14" a="1"/>
  <c r="AN23" i="14" a="1"/>
  <c r="AT74" i="14" a="1"/>
  <c r="F12" i="14" a="1"/>
  <c r="C39" i="14" a="1"/>
  <c r="C48" i="16" a="1"/>
  <c r="AP50" i="14" a="1"/>
  <c r="X23" i="7" a="1"/>
  <c r="G16" i="6" a="1"/>
  <c r="C51" i="16" a="1"/>
  <c r="AT21" i="14" a="1"/>
  <c r="C72" i="16" a="1"/>
  <c r="AT23" i="14" a="1"/>
  <c r="G38" i="16" a="1"/>
  <c r="AM92" i="14" a="1"/>
  <c r="AU100" i="14" a="1"/>
  <c r="F103" i="16" a="1"/>
  <c r="AF105" i="14" a="1"/>
  <c r="AA20" i="1" a="1"/>
  <c r="W11" i="7" a="1"/>
  <c r="AP54" i="14" a="1"/>
  <c r="AR40" i="14" a="1"/>
  <c r="AQ72" i="14" a="1"/>
  <c r="AO54" i="14" a="1"/>
  <c r="AK31" i="14" a="1"/>
  <c r="D62" i="16" a="1"/>
  <c r="AU110" i="14" a="1"/>
  <c r="AK72" i="14" a="1"/>
  <c r="C55" i="14" a="1"/>
  <c r="D77" i="16" a="1"/>
  <c r="C11" i="14" a="1"/>
  <c r="AO23" i="14" a="1"/>
  <c r="AB55" i="14" a="1"/>
  <c r="AP23" i="14" a="1"/>
  <c r="I108" i="14" a="1"/>
  <c r="AT108" i="14" a="1"/>
  <c r="AD38" i="14" a="1"/>
  <c r="AT11" i="14" a="1"/>
  <c r="AS53" i="14" a="1"/>
  <c r="AB89" i="14" a="1"/>
  <c r="AS11" i="14" a="1"/>
  <c r="AM11" i="14" a="1"/>
  <c r="H62" i="16" a="1"/>
  <c r="H66" i="16" a="1"/>
  <c r="AR79" i="14" a="1"/>
  <c r="AD27" i="14" a="1"/>
  <c r="G18" i="1"/>
  <c r="G23" i="6" a="1"/>
  <c r="F106" i="16" a="1"/>
  <c r="AB21" i="14" a="1"/>
  <c r="AP53" i="14" a="1"/>
  <c r="AQ89" i="14" a="1"/>
  <c r="AD110" i="14" a="1"/>
  <c r="I21" i="14" a="1"/>
  <c r="AB54" i="14" a="1"/>
  <c r="AT68" i="14" a="1"/>
  <c r="F21" i="14" a="1"/>
  <c r="AR38" i="14" a="1"/>
  <c r="D29" i="16" a="1"/>
  <c r="E74" i="14" a="1"/>
  <c r="D108" i="16" a="1"/>
  <c r="I40" i="14" a="1"/>
  <c r="AQ74" i="14" a="1"/>
  <c r="H38" i="16" a="1"/>
  <c r="F36" i="16" a="1"/>
  <c r="F108" i="14" a="1"/>
  <c r="AM33" i="14" a="1"/>
  <c r="H52" i="16" a="1"/>
  <c r="AB74" i="14" a="1"/>
  <c r="AP79" i="14" a="1"/>
  <c r="G40" i="14" a="1"/>
  <c r="F109" i="14" a="1"/>
  <c r="G109" i="14" a="1"/>
  <c r="D26" i="6" a="1"/>
  <c r="D64" i="14" a="1"/>
  <c r="D66" i="16" a="1"/>
  <c r="E11" i="14" a="1"/>
  <c r="AO72" i="14" a="1"/>
  <c r="AS23" i="14" a="1"/>
  <c r="AO53" i="14" a="1"/>
  <c r="AQ23" i="14" a="1"/>
  <c r="C68" i="14" a="1"/>
  <c r="F86" i="14" a="1"/>
  <c r="AM79" i="14" a="1"/>
  <c r="AL11" i="14" a="1"/>
  <c r="E89" i="14" a="1"/>
  <c r="AS72" i="14" a="1"/>
  <c r="G29" i="16" a="1"/>
  <c r="AN54" i="14" a="1"/>
  <c r="G72" i="14" a="1"/>
  <c r="F56" i="16" a="1"/>
  <c r="AU27" i="14" a="1"/>
  <c r="D105" i="14" a="1"/>
  <c r="K93" i="14" a="1"/>
  <c r="Z18" i="1" a="1"/>
  <c r="G12" i="6" a="1"/>
  <c r="D31" i="16" a="1"/>
  <c r="I72" i="14" a="1"/>
  <c r="H86" i="14" a="1"/>
  <c r="C29" i="16" a="1"/>
  <c r="AU108" i="14" a="1"/>
  <c r="AF86" i="14" a="1"/>
  <c r="AN55" i="14" a="1"/>
  <c r="D9" i="16" a="1"/>
  <c r="AQ79" i="14" a="1"/>
  <c r="H19" i="16" a="1"/>
  <c r="AT89" i="14" a="1"/>
  <c r="AP108" i="14" a="1"/>
  <c r="D72" i="16" a="1"/>
  <c r="AF110" i="14" a="1"/>
  <c r="C40" i="14" a="1"/>
  <c r="AL53" i="14" a="1"/>
  <c r="G77" i="16" a="1"/>
  <c r="G21" i="14" a="1"/>
  <c r="AN33" i="14" a="1"/>
  <c r="AS21" i="14" a="1"/>
  <c r="H106" i="16" a="1"/>
  <c r="AQ11" i="14" a="1"/>
  <c r="C89" i="14" a="1"/>
  <c r="AN21" i="14" a="1"/>
  <c r="K23" i="14" a="1"/>
  <c r="H79" i="14" a="1"/>
  <c r="AU86" i="14" a="1"/>
  <c r="G72" i="16" a="1"/>
  <c r="AN72" i="14" a="1"/>
  <c r="I92" i="14" a="1"/>
  <c r="AT93" i="14" a="1"/>
  <c r="AT58" i="14" a="1"/>
  <c r="G19" i="1"/>
  <c r="H33" i="14" a="1"/>
  <c r="K68" i="14" a="1"/>
  <c r="F51" i="16" a="1"/>
  <c r="AU79" i="14" a="1"/>
  <c r="F31" i="16" a="1"/>
  <c r="H52" i="14" a="1"/>
  <c r="C103" i="16" a="1"/>
  <c r="F48" i="16" a="1"/>
  <c r="AB21" i="1" a="1"/>
  <c r="I79" i="14" a="1"/>
  <c r="I64" i="14" a="1"/>
  <c r="AS89" i="14" a="1"/>
  <c r="E53" i="14" a="1"/>
  <c r="H89" i="14" a="1"/>
  <c r="AU21" i="14" a="1"/>
  <c r="C108" i="16" a="1"/>
  <c r="AR11" i="14" a="1"/>
  <c r="AN31" i="14" a="1"/>
  <c r="C33" i="14" a="1"/>
  <c r="H84" i="16" a="1"/>
  <c r="C64" i="14" a="1"/>
  <c r="D87" i="16" a="1"/>
  <c r="AR33" i="14" a="1"/>
  <c r="F79" i="14" a="1"/>
  <c r="AM40" i="14" a="1"/>
  <c r="AL54" i="14" a="1"/>
  <c r="G74" i="14" a="1"/>
  <c r="F53" i="16" a="1"/>
  <c r="H31" i="14" a="1"/>
  <c r="G31" i="16" a="1"/>
  <c r="AO64" i="14" a="1"/>
  <c r="AM110" i="14" a="1"/>
  <c r="C38" i="16" a="1"/>
  <c r="AO110" i="14" a="1"/>
  <c r="G87" i="16" a="1"/>
  <c r="K108" i="14" a="1"/>
  <c r="AP64" i="14" a="1"/>
  <c r="I89" i="14" a="1"/>
  <c r="D79" i="14" a="1"/>
  <c r="AM46" i="14" a="1"/>
  <c r="AS12" i="14" a="1"/>
  <c r="AO50" i="14" a="1"/>
  <c r="G18" i="6" a="1"/>
  <c r="AM31" i="14" a="1"/>
  <c r="AU40" i="14" a="1"/>
  <c r="F66" i="16" a="1"/>
  <c r="G54" i="14" a="1"/>
  <c r="D106" i="16" a="1"/>
  <c r="AO31" i="14" a="1"/>
  <c r="F72" i="14" a="1"/>
  <c r="AU89" i="14" a="1"/>
  <c r="G33" i="14" a="1"/>
  <c r="AK53" i="14" a="1"/>
  <c r="F38" i="16" a="1"/>
  <c r="G31" i="14" a="1"/>
  <c r="AM38" i="14" a="1"/>
  <c r="H53" i="16" a="1"/>
  <c r="K86" i="14" a="1"/>
  <c r="AR55" i="14" a="1"/>
  <c r="C84" i="16" a="1"/>
  <c r="AB11" i="14" a="1"/>
  <c r="F72" i="16" a="1"/>
  <c r="F108" i="16" a="1"/>
  <c r="G19" i="16" a="1"/>
  <c r="I74" i="14" a="1"/>
  <c r="AO108" i="14" a="1"/>
  <c r="D36" i="16" a="1"/>
  <c r="E110" i="14" a="1"/>
  <c r="C110" i="14" a="1"/>
  <c r="AK74" i="14" a="1"/>
  <c r="I38" i="14" a="1"/>
  <c r="C74" i="14" a="1"/>
  <c r="D40" i="14" a="1"/>
  <c r="AM55" i="14" a="1"/>
  <c r="E40" i="14" a="1"/>
  <c r="Z19" i="1" a="1"/>
  <c r="E55" i="14" a="1"/>
  <c r="C31" i="16" a="1"/>
  <c r="AR89" i="14" a="1"/>
  <c r="AR108" i="14" a="1"/>
  <c r="AN64" i="14" a="1"/>
  <c r="I23" i="14" a="1"/>
  <c r="F31" i="14" a="1"/>
  <c r="AP21" i="14" a="1"/>
  <c r="D84" i="16" a="1"/>
  <c r="AT109" i="14" a="1"/>
  <c r="AC15" i="1" a="1"/>
  <c r="AB64" i="14" a="1"/>
  <c r="F53" i="14" a="1"/>
  <c r="AU31" i="14" a="1"/>
  <c r="G68" i="14" a="1"/>
  <c r="AL86" i="14" a="1"/>
  <c r="H51" i="16" a="1"/>
  <c r="AL38" i="14" a="1"/>
  <c r="H31" i="16" a="1"/>
  <c r="G52" i="16" a="1"/>
  <c r="G23" i="14" a="1"/>
  <c r="G110" i="14" a="1"/>
  <c r="H9" i="16" a="1"/>
  <c r="AR31" i="14" a="1"/>
  <c r="C31" i="14" a="1"/>
  <c r="AK64" i="14" a="1"/>
  <c r="AL108" i="14" a="1"/>
  <c r="D21" i="14" a="1"/>
  <c r="AO55" i="14" a="1"/>
  <c r="AU11" i="14" a="1"/>
  <c r="AP33" i="14" a="1"/>
  <c r="H108" i="14" a="1"/>
  <c r="H110" i="14" a="1"/>
  <c r="AO68" i="14" a="1"/>
  <c r="E86" i="14" a="1"/>
  <c r="AQ53" i="14" a="1"/>
  <c r="AF53" i="14" a="1"/>
  <c r="C21" i="16" a="1"/>
  <c r="AN27" i="14" a="1"/>
  <c r="D51" i="16" a="1"/>
  <c r="E72" i="14" a="1"/>
  <c r="AD108" i="14" a="1"/>
  <c r="G21" i="16" a="1"/>
  <c r="AU74" i="14" a="1"/>
  <c r="D38" i="16" a="1"/>
  <c r="C19" i="16" a="1"/>
  <c r="AR64" i="14" a="1"/>
  <c r="E23" i="14" a="1"/>
  <c r="K79" i="14" a="1"/>
  <c r="AP68" i="14" a="1"/>
  <c r="AM108" i="14" a="1"/>
  <c r="D72" i="14" a="1"/>
  <c r="AU72" i="14" a="1"/>
  <c r="AU64" i="14" a="1"/>
  <c r="AU38" i="14" a="1"/>
  <c r="K54" i="14" a="1"/>
  <c r="AN108" i="14" a="1"/>
  <c r="AD11" i="14" a="1"/>
  <c r="F33" i="14" a="1"/>
  <c r="G70" i="16" a="1"/>
  <c r="F68" i="14" a="1"/>
  <c r="AL31" i="14" a="1"/>
  <c r="AO86" i="14" a="1"/>
  <c r="AP86" i="14" a="1"/>
  <c r="AN86" i="14" a="1"/>
  <c r="AU33" i="14" a="1"/>
  <c r="AB20" i="14" a="1"/>
  <c r="AD21" i="14" a="1"/>
  <c r="AL21" i="14" a="1"/>
  <c r="H53" i="14" a="1"/>
  <c r="AD86" i="14" a="1"/>
  <c r="C70" i="16" a="1"/>
  <c r="AU23" i="14" a="1"/>
  <c r="AN89" i="14" a="1"/>
  <c r="AL74" i="14" a="1"/>
  <c r="AB68" i="14" a="1"/>
  <c r="AS74" i="14" a="1"/>
  <c r="AK54" i="14" a="1"/>
  <c r="AF68" i="14" a="1"/>
  <c r="AL68" i="14" a="1"/>
  <c r="AT53" i="14" a="1"/>
  <c r="C38" i="14" a="1"/>
  <c r="G66" i="16" a="1"/>
  <c r="AQ68" i="14" a="1"/>
  <c r="E38" i="14" a="1"/>
  <c r="H40" i="14" a="1"/>
  <c r="AQ77" i="14" a="1"/>
  <c r="AF58" i="14" a="1"/>
  <c r="AA18" i="1" a="1"/>
  <c r="D89" i="14" a="1"/>
  <c r="G89" i="14" a="1"/>
  <c r="E64" i="14" a="1"/>
  <c r="D70" i="16" a="1"/>
  <c r="K25" i="14" a="1"/>
  <c r="AB67" i="14" a="1"/>
  <c r="W20" i="7" a="1"/>
  <c r="C77" i="16" a="1"/>
  <c r="AF31" i="14" a="1"/>
  <c r="AS86" i="14" a="1"/>
  <c r="AR54" i="14" a="1"/>
  <c r="AL72" i="14" a="1"/>
  <c r="H77" i="16" a="1"/>
  <c r="F110" i="14" a="1"/>
  <c r="AN74" i="14" a="1"/>
  <c r="AS38" i="14" a="1"/>
  <c r="AD64" i="14" a="1"/>
  <c r="G53" i="16" a="1"/>
  <c r="AM23" i="14" a="1"/>
  <c r="F75" i="16" a="1"/>
  <c r="AM74" i="14" a="1"/>
  <c r="AP72" i="14" a="1"/>
  <c r="E31" i="14" a="1"/>
  <c r="C52" i="16" a="1"/>
  <c r="AK68" i="14" a="1"/>
  <c r="AS40" i="14" a="1"/>
  <c r="AQ31" i="14" a="1"/>
  <c r="F54" i="14" a="1"/>
  <c r="H72" i="16" a="1"/>
  <c r="AF55" i="14" a="1"/>
  <c r="AD89" i="14" a="1"/>
  <c r="AQ33" i="14" a="1"/>
  <c r="AT79" i="14" a="1"/>
  <c r="AK89" i="14" a="1"/>
  <c r="AL33" i="14" a="1"/>
  <c r="C12" i="14" a="1"/>
  <c r="I12" i="6" a="1"/>
  <c r="F64" i="14" a="1"/>
  <c r="AD79" i="14" a="1"/>
  <c r="F50" i="14" a="1"/>
  <c r="I33" i="14" a="1"/>
  <c r="K110" i="14" a="1"/>
  <c r="AQ21" i="14" a="1"/>
  <c r="F19" i="16" a="1"/>
  <c r="D19" i="16" a="1"/>
  <c r="AT64" i="14" a="1"/>
  <c r="D55" i="14" a="1"/>
  <c r="AM53" i="14" a="1"/>
  <c r="F38" i="14" a="1"/>
  <c r="AP110" i="14" a="1"/>
  <c r="H108" i="16" a="1"/>
  <c r="AK23" i="14" a="1"/>
  <c r="AM86" i="14" a="1"/>
  <c r="AB40" i="14" a="1"/>
  <c r="AL79" i="14" a="1"/>
  <c r="C53" i="16" a="1"/>
  <c r="AQ64" i="14" a="1"/>
  <c r="K38" i="14" a="1"/>
  <c r="AT86" i="14" a="1"/>
  <c r="H56" i="16" a="1"/>
  <c r="K40" i="14" a="1"/>
  <c r="AF54" i="14" a="1"/>
  <c r="I11" i="14" a="1"/>
  <c r="AD53" i="14" a="1"/>
  <c r="H68" i="14" a="1"/>
  <c r="AN38" i="14" a="1"/>
  <c r="H48" i="16" a="1"/>
  <c r="D11" i="14" a="1"/>
  <c r="AP89" i="14" a="1"/>
  <c r="I68" i="14" a="1"/>
  <c r="AU68" i="14" a="1"/>
  <c r="AR21" i="14" a="1"/>
  <c r="AQ86" i="14" a="1"/>
  <c r="AL110" i="14" a="1"/>
  <c r="D68" i="14" a="1"/>
  <c r="AS79" i="14" a="1"/>
  <c r="C53" i="14" a="1"/>
  <c r="AL50" i="14" a="1"/>
  <c r="K67" i="14" a="1"/>
  <c r="AK108" i="14" a="1"/>
  <c r="K21" i="14" a="1"/>
  <c r="G11" i="14" a="1"/>
  <c r="E79" i="14" a="1"/>
  <c r="F40" i="14" a="1"/>
  <c r="K11" i="14" a="1"/>
  <c r="AQ38" i="14" a="1"/>
  <c r="AK21" i="14" a="1"/>
  <c r="AB108" i="14" a="1"/>
  <c r="G108" i="14" a="1"/>
  <c r="C36" i="16" a="1"/>
  <c r="AQ27" i="14" a="1"/>
  <c r="AB72" i="14" a="1"/>
  <c r="F55" i="14" a="1"/>
  <c r="H72" i="14" a="1"/>
  <c r="AF79" i="14" a="1"/>
  <c r="AO21" i="14" a="1"/>
  <c r="AU53" i="14" a="1"/>
  <c r="F11" i="14" a="1"/>
  <c r="AF74" i="14" a="1"/>
  <c r="AN11" i="14" a="1"/>
  <c r="AF21" i="14" a="1"/>
  <c r="C66" i="16" a="1"/>
  <c r="AB33" i="14" a="1"/>
  <c r="AM89" i="14" a="1"/>
  <c r="I110" i="14" a="1"/>
  <c r="G64" i="14" a="1"/>
  <c r="C72" i="14" a="1"/>
  <c r="K33" i="14" a="1"/>
  <c r="AL40" i="14" a="1"/>
  <c r="AB31" i="14" a="1"/>
  <c r="H74" i="14" a="1"/>
  <c r="D65" i="16" a="1"/>
  <c r="AM64" i="14" a="1"/>
  <c r="AF72" i="14" a="1"/>
  <c r="F87" i="16" a="1"/>
  <c r="G84" i="16" a="1"/>
  <c r="K31" i="14" a="1"/>
  <c r="AF38" i="14" a="1"/>
  <c r="AT72" i="14" a="1"/>
  <c r="AD74" i="14" a="1"/>
  <c r="AR74" i="14" a="1"/>
  <c r="D21" i="16" a="1"/>
  <c r="AK86" i="14" a="1"/>
  <c r="D108" i="14" a="1"/>
  <c r="D23" i="1" a="1"/>
  <c r="K17" i="1" a="1"/>
  <c r="I23" i="1" a="1"/>
  <c r="M23" i="1" a="1"/>
  <c r="I13" i="1" a="1"/>
  <c r="AJ16" i="1" a="1"/>
  <c r="AL13" i="1" a="1"/>
  <c r="AF81" i="14" a="1"/>
  <c r="AF95" i="14" a="1"/>
  <c r="C63" i="14" a="1"/>
  <c r="C30" i="14" a="1"/>
  <c r="F35" i="16" a="1"/>
  <c r="C67" i="16" a="1"/>
  <c r="AN30" i="14" a="1"/>
  <c r="C17" i="14" a="1"/>
  <c r="F34" i="16" a="1"/>
  <c r="E45" i="14" a="1"/>
  <c r="C45" i="14" a="1"/>
  <c r="I81" i="14" a="1"/>
  <c r="AO17" i="14" a="1"/>
  <c r="AN95" i="14" a="1"/>
  <c r="H45" i="14" a="1"/>
  <c r="D64" i="16" a="1"/>
  <c r="F19" i="6" a="1"/>
  <c r="E24" i="6" a="1"/>
  <c r="G17" i="6" a="1"/>
  <c r="D13" i="1" a="1"/>
  <c r="K13" i="1" a="1"/>
  <c r="AL16" i="1" a="1"/>
  <c r="J12" i="1" a="1"/>
  <c r="I17" i="1" a="1"/>
  <c r="E17" i="1" a="1"/>
  <c r="K14" i="1" a="1"/>
  <c r="J14" i="1" a="1"/>
  <c r="H66" i="14" a="1"/>
  <c r="AT66" i="14" a="1"/>
  <c r="AS36" i="14" a="1"/>
  <c r="G28" i="16" a="1"/>
  <c r="E63" i="14" a="1"/>
  <c r="AB17" i="14" a="1"/>
  <c r="AQ30" i="14" a="1"/>
  <c r="C79" i="16" a="1"/>
  <c r="AT81" i="14" a="1"/>
  <c r="AD30" i="14" a="1"/>
  <c r="AF17" i="14" a="1"/>
  <c r="C69" i="14" a="1"/>
  <c r="AB66" i="14" a="1"/>
  <c r="AR30" i="14" a="1"/>
  <c r="AB30" i="14" a="1"/>
  <c r="F66" i="14" a="1"/>
  <c r="G36" i="14" a="1"/>
  <c r="AS81" i="14" a="1"/>
  <c r="AJ13" i="1" a="1"/>
  <c r="E16" i="1" a="1"/>
  <c r="AK16" i="1" a="1"/>
  <c r="E14" i="1" a="1"/>
  <c r="AK17" i="1" a="1"/>
  <c r="AJ14" i="1" a="1"/>
  <c r="AL23" i="1" a="1"/>
  <c r="AL36" i="14" a="1"/>
  <c r="AK81" i="14" a="1"/>
  <c r="H63" i="14" a="1"/>
  <c r="AL81" i="14" a="1"/>
  <c r="AL69" i="14" a="1"/>
  <c r="G63" i="14" a="1"/>
  <c r="H64" i="16" a="1"/>
  <c r="AO81" i="14" a="1"/>
  <c r="H95" i="14" a="1"/>
  <c r="AM69" i="14" a="1"/>
  <c r="AQ37" i="14" a="1"/>
  <c r="F45" i="14" a="1"/>
  <c r="AK45" i="14" a="1"/>
  <c r="AU36" i="14" a="1"/>
  <c r="AQ63" i="14" a="1"/>
  <c r="H67" i="16" a="1"/>
  <c r="AF69" i="14" a="1"/>
  <c r="C93" i="16" a="1"/>
  <c r="F81" i="14" a="1"/>
  <c r="AK13" i="1" a="1"/>
  <c r="D17" i="1" a="1"/>
  <c r="AJ17" i="1" a="1"/>
  <c r="M16" i="1" a="1"/>
  <c r="I14" i="1" a="1"/>
  <c r="AJ12" i="1" a="1"/>
  <c r="AK14" i="1" a="1"/>
  <c r="D12" i="1" a="1"/>
  <c r="AQ66" i="14" a="1"/>
  <c r="D28" i="16" a="1"/>
  <c r="E36" i="14" a="1"/>
  <c r="AB95" i="14" a="1"/>
  <c r="AR45" i="14" a="1"/>
  <c r="I63" i="14" a="1"/>
  <c r="AR36" i="14" a="1"/>
  <c r="G43" i="16" a="1"/>
  <c r="K45" i="14" a="1"/>
  <c r="AB69" i="14" a="1"/>
  <c r="AU95" i="14" a="1"/>
  <c r="E69" i="14" a="1"/>
  <c r="G81" i="14" a="1"/>
  <c r="D17" i="14" a="1"/>
  <c r="AD17" i="14" a="1"/>
  <c r="AO66" i="14" a="1"/>
  <c r="AP101" i="14" a="1"/>
  <c r="AS44" i="14" a="1"/>
  <c r="AU104" i="14" a="1"/>
  <c r="AB85" i="14" a="1"/>
  <c r="F85" i="14" a="1"/>
  <c r="AM71" i="14" a="1"/>
  <c r="AS95" i="14" a="1"/>
  <c r="AP69" i="14" a="1"/>
  <c r="AF36" i="14" a="1"/>
  <c r="F37" i="14" a="1"/>
  <c r="AS66" i="14" a="1"/>
  <c r="AP66" i="14" a="1"/>
  <c r="AL45" i="14" a="1"/>
  <c r="K30" i="14" a="1"/>
  <c r="AM37" i="14" a="1"/>
  <c r="AD66" i="14" a="1"/>
  <c r="C66" i="14" a="1"/>
  <c r="J16" i="1" a="1"/>
  <c r="I16" i="1" a="1"/>
  <c r="J13" i="1" a="1"/>
  <c r="M17" i="1" a="1"/>
  <c r="H17" i="1" a="1"/>
  <c r="E13" i="1" a="1"/>
  <c r="K23" i="1" a="1"/>
  <c r="J23" i="1" a="1"/>
  <c r="AP17" i="14" a="1"/>
  <c r="AB45" i="14" a="1"/>
  <c r="H35" i="16" a="1"/>
  <c r="AS69" i="14" a="1"/>
  <c r="AB36" i="14" a="1"/>
  <c r="F43" i="16" a="1"/>
  <c r="AR37" i="14" a="1"/>
  <c r="AN45" i="14" a="1"/>
  <c r="AP63" i="14" a="1"/>
  <c r="K63" i="14" a="1"/>
  <c r="AP37" i="14" a="1"/>
  <c r="AM45" i="14" a="1"/>
  <c r="G34" i="16" a="1"/>
  <c r="AD63" i="14" a="1"/>
  <c r="E17" i="14" a="1"/>
  <c r="H69" i="14" a="1"/>
  <c r="I30" i="14" a="1"/>
  <c r="AS63" i="14" a="1"/>
  <c r="D36" i="14" a="1"/>
  <c r="D17" i="6" a="1"/>
  <c r="D20" i="6" a="1"/>
  <c r="D13" i="6" a="1"/>
  <c r="E19" i="6" a="1"/>
  <c r="I24" i="6" a="1"/>
  <c r="G13" i="6" a="1"/>
  <c r="AB94" i="14" a="1"/>
  <c r="H44" i="14" a="1"/>
  <c r="F104" i="16" a="1"/>
  <c r="AP44" i="14" a="1"/>
  <c r="C83" i="16" a="1"/>
  <c r="AT28" i="14" a="1"/>
  <c r="F26" i="16" a="1"/>
  <c r="AN28" i="14" a="1"/>
  <c r="D15" i="14" a="1"/>
  <c r="AF11" i="5" a="1"/>
  <c r="G94" i="14" a="1"/>
  <c r="AT15" i="14" a="1"/>
  <c r="AF106" i="14" a="1"/>
  <c r="D69" i="16" a="1"/>
  <c r="F92" i="16" a="1"/>
  <c r="AF101" i="14" a="1"/>
  <c r="F99" i="14" a="1"/>
  <c r="G101" i="14" a="1"/>
  <c r="D99" i="14" a="1"/>
  <c r="AK106" i="14" a="1"/>
  <c r="AT101" i="14" a="1"/>
  <c r="D16" i="1" a="1"/>
  <c r="I12" i="1" a="1"/>
  <c r="H23" i="1" a="1"/>
  <c r="AK23" i="1" a="1"/>
  <c r="H14" i="1" a="1"/>
  <c r="AL12" i="1" a="1"/>
  <c r="H16" i="1" a="1"/>
  <c r="D14" i="1" a="1"/>
  <c r="AB81" i="14" a="1"/>
  <c r="G61" i="16" a="1"/>
  <c r="AN36" i="14" a="1"/>
  <c r="AO37" i="14" a="1"/>
  <c r="C28" i="16" a="1"/>
  <c r="D45" i="14" a="1"/>
  <c r="C36" i="14" a="1"/>
  <c r="AF45" i="14" a="1"/>
  <c r="AO95" i="14" a="1"/>
  <c r="AU45" i="14" a="1"/>
  <c r="H17" i="14" a="1"/>
  <c r="G67" i="16" a="1"/>
  <c r="AL63" i="14" a="1"/>
  <c r="G30" i="14" a="1"/>
  <c r="G17" i="14" a="1"/>
  <c r="AU66" i="14" a="1"/>
  <c r="AS30" i="14" a="1"/>
  <c r="AM66" i="14" a="1"/>
  <c r="AD36" i="14" a="1"/>
  <c r="AK63" i="14" a="1"/>
  <c r="C37" i="14" a="1"/>
  <c r="H81" i="14" a="1"/>
  <c r="H37" i="14" a="1"/>
  <c r="AP30" i="14" a="1"/>
  <c r="AM81" i="14" a="1"/>
  <c r="AO30" i="14" a="1"/>
  <c r="G95" i="14" a="1"/>
  <c r="AQ81" i="14" a="1"/>
  <c r="D15" i="16" a="1"/>
  <c r="AT63" i="14" a="1"/>
  <c r="G93" i="16" a="1"/>
  <c r="AT69" i="14" a="1"/>
  <c r="C34" i="16" a="1"/>
  <c r="D19" i="6" a="1"/>
  <c r="G25" i="6" a="1"/>
  <c r="F25" i="6" a="1"/>
  <c r="I13" i="6" a="1"/>
  <c r="I14" i="6" a="1"/>
  <c r="E12" i="1" a="1"/>
  <c r="AK12" i="1" a="1"/>
  <c r="K16" i="1" a="1"/>
  <c r="M14" i="1" a="1"/>
  <c r="AJ23" i="1" a="1"/>
  <c r="H13" i="1" a="1"/>
  <c r="E23" i="1" a="1"/>
  <c r="F93" i="16" a="1"/>
  <c r="AL37" i="14" a="1"/>
  <c r="G66" i="14" a="1"/>
  <c r="C43" i="16" a="1"/>
  <c r="AS45" i="14" a="1"/>
  <c r="AB37" i="14" a="1"/>
  <c r="F67" i="16" a="1"/>
  <c r="AK69" i="14" a="1"/>
  <c r="AL30" i="14" a="1"/>
  <c r="AR69" i="14" a="1"/>
  <c r="F95" i="14" a="1"/>
  <c r="E95" i="14" a="1"/>
  <c r="G37" i="14" a="1"/>
  <c r="AO63" i="14" a="1"/>
  <c r="AM63" i="14" a="1"/>
  <c r="F61" i="16" a="1"/>
  <c r="AU17" i="14" a="1"/>
  <c r="AP45" i="14" a="1"/>
  <c r="F36" i="14" a="1"/>
  <c r="AD95" i="14" a="1"/>
  <c r="AF37" i="14" a="1"/>
  <c r="E81" i="14" a="1"/>
  <c r="AF66" i="14" a="1"/>
  <c r="AR17" i="14" a="1"/>
  <c r="AU69" i="14" a="1"/>
  <c r="K36" i="14" a="1"/>
  <c r="G45" i="14" a="1"/>
  <c r="F14" i="6" a="1"/>
  <c r="F17" i="6" a="1"/>
  <c r="G20" i="6" a="1"/>
  <c r="D14" i="6" a="1"/>
  <c r="E17" i="6" a="1"/>
  <c r="F21" i="6" a="1"/>
  <c r="I85" i="14" a="1"/>
  <c r="D94" i="14" a="1"/>
  <c r="F83" i="16" a="1"/>
  <c r="M12" i="1" a="1"/>
  <c r="M13" i="1" a="1"/>
  <c r="H12" i="1" a="1"/>
  <c r="AL14" i="1" a="1"/>
  <c r="AL17" i="1" a="1"/>
  <c r="J17" i="1" a="1"/>
  <c r="K12" i="1" a="1"/>
  <c r="K66" i="14" a="1"/>
  <c r="F17" i="14" a="1"/>
  <c r="K17" i="14" a="1"/>
  <c r="I37" i="14" a="1"/>
  <c r="AL95" i="14" a="1"/>
  <c r="AM30" i="14" a="1"/>
  <c r="I66" i="14" a="1"/>
  <c r="D37" i="14" a="1"/>
  <c r="AO45" i="14" a="1"/>
  <c r="K81" i="14" a="1"/>
  <c r="H93" i="16" a="1"/>
  <c r="D93" i="16" a="1"/>
  <c r="I69" i="14" a="1"/>
  <c r="AT36" i="14" a="1"/>
  <c r="AK36" i="14" a="1"/>
  <c r="AL17" i="14" a="1"/>
  <c r="D69" i="14" a="1"/>
  <c r="C81" i="14" a="1"/>
  <c r="AQ36" i="14" a="1"/>
  <c r="H34" i="16" a="1"/>
  <c r="I95" i="14" a="1"/>
  <c r="AP95" i="14" a="1"/>
  <c r="D79" i="16" a="1"/>
  <c r="AR81" i="14" a="1"/>
  <c r="AK95" i="14" a="1"/>
  <c r="AK66" i="14" a="1"/>
  <c r="G69" i="14" a="1"/>
  <c r="AF30" i="14" a="1"/>
  <c r="E66" i="14" a="1"/>
  <c r="E25" i="6" a="1"/>
  <c r="E21" i="6" a="1"/>
  <c r="I21" i="6" a="1"/>
  <c r="D21" i="6" a="1"/>
  <c r="E13" i="6" a="1"/>
  <c r="G19" i="6" a="1"/>
  <c r="I22" i="6" a="1"/>
  <c r="D104" i="14" a="1"/>
  <c r="C92" i="16" a="1"/>
  <c r="AL28" i="14" a="1"/>
  <c r="AU44" i="14" a="1"/>
  <c r="C94" i="14" a="1"/>
  <c r="E99" i="14" a="1"/>
  <c r="D101" i="14" a="1"/>
  <c r="AO99" i="14" a="1"/>
  <c r="AP104" i="14" a="1"/>
  <c r="AR85" i="14" a="1"/>
  <c r="H61" i="16" a="1"/>
  <c r="AN17" i="14" a="1"/>
  <c r="AL66" i="14" a="1"/>
  <c r="AK37" i="14" a="1"/>
  <c r="AR95" i="14" a="1"/>
  <c r="F30" i="14" a="1"/>
  <c r="G14" i="6" a="1"/>
  <c r="E15" i="6" a="1"/>
  <c r="AS71" i="14" a="1"/>
  <c r="H71" i="14" a="1"/>
  <c r="AL99" i="14" a="1"/>
  <c r="K28" i="14" a="1"/>
  <c r="AN104" i="14" a="1"/>
  <c r="I94" i="14" a="1"/>
  <c r="AR15" i="14" a="1"/>
  <c r="E106" i="14" a="1"/>
  <c r="D92" i="16" a="1"/>
  <c r="AN15" i="14" a="1"/>
  <c r="C44" i="14" a="1"/>
  <c r="AU101" i="14" a="1"/>
  <c r="AU71" i="14" a="1"/>
  <c r="AO94" i="14" a="1"/>
  <c r="AM101" i="14" a="1"/>
  <c r="AQ28" i="14" a="1"/>
  <c r="G85" i="14" a="1"/>
  <c r="AF44" i="14" a="1"/>
  <c r="AS85" i="14" a="1"/>
  <c r="AM94" i="14" a="1"/>
  <c r="AP85" i="14" a="1"/>
  <c r="G64" i="16" a="1"/>
  <c r="I45" i="14" a="1"/>
  <c r="H30" i="14" a="1"/>
  <c r="H28" i="16" a="1"/>
  <c r="AT95" i="14" a="1"/>
  <c r="AQ17" i="14" a="1"/>
  <c r="I25" i="6" a="1"/>
  <c r="E14" i="6" a="1"/>
  <c r="AS37" i="14" a="1"/>
  <c r="AP36" i="14" a="1"/>
  <c r="D67" i="16" a="1"/>
  <c r="F79" i="16" a="1"/>
  <c r="G79" i="16" a="1"/>
  <c r="AT45" i="14" a="1"/>
  <c r="AS17" i="14" a="1"/>
  <c r="D66" i="14" a="1"/>
  <c r="F20" i="6" a="1"/>
  <c r="AF104" i="14" a="1"/>
  <c r="AD81" i="14" a="1"/>
  <c r="AB63" i="14" a="1"/>
  <c r="AM95" i="14" a="1"/>
  <c r="AM36" i="14" a="1"/>
  <c r="C64" i="16" a="1"/>
  <c r="F22" i="6" a="1"/>
  <c r="I28" i="14" a="1"/>
  <c r="D85" i="14" a="1"/>
  <c r="C104" i="14" a="1"/>
  <c r="AO15" i="14" a="1"/>
  <c r="AQ85" i="14" a="1"/>
  <c r="G102" i="16" a="1"/>
  <c r="H94" i="14" a="1"/>
  <c r="H99" i="14" a="1"/>
  <c r="G83" i="16" a="1"/>
  <c r="AN99" i="14" a="1"/>
  <c r="AT17" i="14" a="1"/>
  <c r="AM17" i="14" a="1"/>
  <c r="E37" i="14" a="1"/>
  <c r="H43" i="16" a="1"/>
  <c r="I17" i="6" a="1"/>
  <c r="C85" i="14" a="1"/>
  <c r="AS99" i="14" a="1"/>
  <c r="E85" i="14" a="1"/>
  <c r="AD94" i="14" a="1"/>
  <c r="AB28" i="14" a="1"/>
  <c r="H99" i="16" a="1"/>
  <c r="F13" i="16" a="1"/>
  <c r="D28" i="14" a="1"/>
  <c r="AP99" i="14" a="1"/>
  <c r="C28" i="14" a="1"/>
  <c r="AQ71" i="14" a="1"/>
  <c r="E30" i="14" a="1"/>
  <c r="I17" i="14" a="1"/>
  <c r="D35" i="16" a="1"/>
  <c r="AP81" i="14" a="1"/>
  <c r="AK30" i="14" a="1"/>
  <c r="AN63" i="14" a="1"/>
  <c r="AT37" i="14" a="1"/>
  <c r="G24" i="6" a="1"/>
  <c r="F13" i="6" a="1"/>
  <c r="I106" i="14" a="1"/>
  <c r="AD28" i="14" a="1"/>
  <c r="AR104" i="14" a="1"/>
  <c r="D97" i="16" a="1"/>
  <c r="AR44" i="14" a="1"/>
  <c r="AB44" i="14" a="1"/>
  <c r="D106" i="14" a="1"/>
  <c r="C26" i="16" a="1"/>
  <c r="F106" i="14" a="1"/>
  <c r="AL106" i="14" a="1"/>
  <c r="E104" i="14" a="1"/>
  <c r="G106" i="14" a="1"/>
  <c r="AD44" i="14" a="1"/>
  <c r="H104" i="16" a="1"/>
  <c r="H85" i="14" a="1"/>
  <c r="G15" i="16" a="1"/>
  <c r="AR63" i="14" a="1"/>
  <c r="M19" i="7"/>
  <c r="I20" i="6" a="1"/>
  <c r="D25" i="6" a="1"/>
  <c r="G104" i="14" a="1"/>
  <c r="C71" i="14" a="1"/>
  <c r="AO28" i="14" a="1"/>
  <c r="D83" i="16" a="1"/>
  <c r="AQ104" i="14" a="1"/>
  <c r="AN71" i="14" a="1"/>
  <c r="G71" i="14" a="1"/>
  <c r="H97" i="16" a="1"/>
  <c r="AD71" i="14" a="1"/>
  <c r="H15" i="16" a="1"/>
  <c r="AN37" i="14" a="1"/>
  <c r="F28" i="16" a="1"/>
  <c r="AQ95" i="14" a="1"/>
  <c r="AU37" i="14" a="1"/>
  <c r="AO71" i="14" a="1"/>
  <c r="AR71" i="14" a="1"/>
  <c r="C13" i="16" a="1"/>
  <c r="F42" i="16" a="1"/>
  <c r="AK28" i="14" a="1"/>
  <c r="C104" i="16" a="1"/>
  <c r="AP71" i="14" a="1"/>
  <c r="G97" i="16" a="1"/>
  <c r="F102" i="16" a="1"/>
  <c r="D102" i="16" a="1"/>
  <c r="K101" i="14" a="1"/>
  <c r="AD45" i="14" a="1"/>
  <c r="AU30" i="14" a="1"/>
  <c r="AN66" i="14" a="1"/>
  <c r="D34" i="16" a="1"/>
  <c r="D81" i="14" a="1"/>
  <c r="AF63" i="14" a="1"/>
  <c r="K37" i="14" a="1"/>
  <c r="AO69" i="14" a="1"/>
  <c r="AN69" i="14" a="1"/>
  <c r="E20" i="6" a="1"/>
  <c r="C102" i="16" a="1"/>
  <c r="E15" i="14" a="1"/>
  <c r="K94" i="14" a="1"/>
  <c r="AF71" i="14" a="1"/>
  <c r="H101" i="14" a="1"/>
  <c r="AB106" i="14" a="1"/>
  <c r="K104" i="14" a="1"/>
  <c r="AB104" i="14" a="1"/>
  <c r="I71" i="14" a="1"/>
  <c r="AM106" i="14" a="1"/>
  <c r="E71" i="14" a="1"/>
  <c r="F99" i="16" a="1"/>
  <c r="AB99" i="14" a="1"/>
  <c r="E101" i="14" a="1"/>
  <c r="E44" i="14" a="1"/>
  <c r="AS101" i="14" a="1"/>
  <c r="AL85" i="14" a="1"/>
  <c r="AN94" i="14" a="1"/>
  <c r="AD99" i="14" a="1"/>
  <c r="G13" i="16" a="1"/>
  <c r="AF85" i="14" a="1"/>
  <c r="C42" i="16" a="1"/>
  <c r="AQ69" i="14" a="1"/>
  <c r="AU81" i="14" a="1"/>
  <c r="D63" i="14" a="1"/>
  <c r="AQ45" i="14" a="1"/>
  <c r="I19" i="6" a="1"/>
  <c r="G15" i="6" a="1"/>
  <c r="D13" i="16" a="1"/>
  <c r="F104" i="14" a="1"/>
  <c r="I15" i="14" a="1"/>
  <c r="I99" i="14" a="1"/>
  <c r="AO106" i="14" a="1"/>
  <c r="I101" i="14" a="1"/>
  <c r="F28" i="14" a="1"/>
  <c r="AQ44" i="14" a="1"/>
  <c r="G99" i="16" a="1"/>
  <c r="F69" i="16" a="1"/>
  <c r="AB101" i="14" a="1"/>
  <c r="AD37" i="14" a="1"/>
  <c r="F64" i="16" a="1"/>
  <c r="D43" i="16" a="1"/>
  <c r="H36" i="14" a="1"/>
  <c r="C61" i="16" a="1"/>
  <c r="G35" i="16" a="1"/>
  <c r="D22" i="6" a="1"/>
  <c r="E22" i="6" a="1"/>
  <c r="F24" i="6" a="1"/>
  <c r="AF28" i="14" a="1"/>
  <c r="AL15" i="14" a="1"/>
  <c r="I44" i="14" a="1"/>
  <c r="AN101" i="14" a="1"/>
  <c r="AQ106" i="14" a="1"/>
  <c r="AQ99" i="14" a="1"/>
  <c r="H26" i="16" a="1"/>
  <c r="AU28" i="14" a="1"/>
  <c r="F97" i="16" a="1"/>
  <c r="D99" i="16" a="1"/>
  <c r="D42" i="16" a="1"/>
  <c r="C106" i="14" a="1"/>
  <c r="F71" i="14" a="1"/>
  <c r="AR66" i="14" a="1"/>
  <c r="AK17" i="14" a="1"/>
  <c r="D95" i="14" a="1"/>
  <c r="AU63" i="14" a="1"/>
  <c r="H102" i="16" a="1"/>
  <c r="AK44" i="14" a="1"/>
  <c r="AP15" i="14" a="1"/>
  <c r="AR94" i="14" a="1"/>
  <c r="C15" i="14" a="1"/>
  <c r="E28" i="14" a="1"/>
  <c r="I104" i="14" a="1"/>
  <c r="C101" i="14" a="1"/>
  <c r="K71" i="14" a="1"/>
  <c r="AO85" i="14" a="1"/>
  <c r="AD104" i="14" a="1"/>
  <c r="G104" i="16" a="1"/>
  <c r="F15" i="14" a="1"/>
  <c r="H106" i="14" a="1"/>
  <c r="AR101" i="14" a="1"/>
  <c r="AS104" i="14" a="1"/>
  <c r="AP106" i="14" a="1"/>
  <c r="H69" i="16" a="1"/>
  <c r="AU94" i="14" a="1"/>
  <c r="AN44" i="14" a="1"/>
  <c r="AQ94" i="14" a="1"/>
  <c r="AT94" i="14" a="1"/>
  <c r="AQ15" i="14" a="1"/>
  <c r="AK94" i="14" a="1"/>
  <c r="F44" i="14" a="1"/>
  <c r="G69" i="16" a="1"/>
  <c r="AL94" i="14" a="1"/>
  <c r="AD106" i="14" a="1"/>
  <c r="AT44" i="14" a="1"/>
  <c r="AB15" i="14" a="1"/>
  <c r="AM15" i="14" a="1"/>
  <c r="AN106" i="14" a="1"/>
  <c r="AD69" i="14" a="1"/>
  <c r="I36" i="14" a="1"/>
  <c r="AT30" i="14" a="1"/>
  <c r="F15" i="16" a="1"/>
  <c r="AO36" i="14" a="1"/>
  <c r="D15" i="6" a="1"/>
  <c r="I15" i="6" a="1"/>
  <c r="AT106" i="14" a="1"/>
  <c r="AD15" i="14" a="1"/>
  <c r="H104" i="14" a="1"/>
  <c r="AU15" i="14" a="1"/>
  <c r="G92" i="16" a="1"/>
  <c r="D71" i="14" a="1"/>
  <c r="AT99" i="14" a="1"/>
  <c r="AO104" i="14" a="1"/>
  <c r="AM85" i="14" a="1"/>
  <c r="AU106" i="14" a="1"/>
  <c r="AQ101" i="14" a="1"/>
  <c r="AB71" i="14" a="1"/>
  <c r="AN85" i="14" a="1"/>
  <c r="AK101" i="14" a="1"/>
  <c r="D26" i="16" a="1"/>
  <c r="E94" i="14" a="1"/>
  <c r="H13" i="16" a="1"/>
  <c r="D61" i="16" a="1"/>
  <c r="C95" i="14" a="1"/>
  <c r="K95" i="14" a="1"/>
  <c r="F69" i="14" a="1"/>
  <c r="K69" i="14" a="1"/>
  <c r="H79" i="16" a="1"/>
  <c r="D24" i="6" a="1"/>
  <c r="K15" i="14" a="1"/>
  <c r="AL71" i="14" a="1"/>
  <c r="AK99" i="14" a="1"/>
  <c r="D30" i="14" a="1"/>
  <c r="F63" i="14" a="1"/>
  <c r="C35" i="16" a="1"/>
  <c r="C15" i="16" a="1"/>
  <c r="AN81" i="14" a="1"/>
  <c r="G22" i="6" a="1"/>
  <c r="AF99" i="14" a="1"/>
  <c r="AR28" i="14" a="1"/>
  <c r="AL101" i="14" a="1"/>
  <c r="AM104" i="14" a="1"/>
  <c r="C69" i="16" a="1"/>
  <c r="AR99" i="14" a="1"/>
  <c r="G28" i="14" a="1"/>
  <c r="C99" i="14" a="1"/>
  <c r="H42" i="16" a="1"/>
  <c r="G42" i="16" a="1"/>
  <c r="AM44" i="14" a="1"/>
  <c r="AR106" i="14" a="1"/>
  <c r="AK71" i="14" a="1"/>
  <c r="AD85" i="14" a="1"/>
  <c r="K85" i="14" a="1"/>
  <c r="AO44" i="14" a="1"/>
  <c r="AT85" i="14" a="1"/>
  <c r="F94" i="14" a="1"/>
  <c r="C99" i="16" a="1"/>
  <c r="G99" i="14" a="1"/>
  <c r="H92" i="16" a="1"/>
  <c r="H28" i="14" a="1"/>
  <c r="AF15" i="14" a="1"/>
  <c r="H15" i="14" a="1"/>
  <c r="F15" i="6" a="1"/>
  <c r="K106" i="14" a="1"/>
  <c r="AD101" i="14" a="1"/>
  <c r="AS28" i="14" a="1"/>
  <c r="AS106" i="14" a="1"/>
  <c r="H83" i="16" a="1"/>
  <c r="AK104" i="14" a="1"/>
  <c r="D44" i="14" a="1"/>
  <c r="F101" i="14" a="1"/>
  <c r="AP28" i="14" a="1"/>
  <c r="AU85" i="14" a="1"/>
  <c r="G21" i="6" a="1"/>
  <c r="C97" i="16" a="1"/>
  <c r="AP94" i="14" a="1"/>
  <c r="AL104" i="14" a="1"/>
  <c r="AK85" i="14" a="1"/>
  <c r="G26" i="16" a="1"/>
  <c r="G44" i="14" a="1"/>
  <c r="AU99" i="14" a="1"/>
  <c r="AO101" i="14" a="1"/>
  <c r="AM99" i="14" a="1"/>
  <c r="AS15" i="14" a="1"/>
  <c r="AF94" i="14" a="1"/>
  <c r="D104" i="16" a="1"/>
  <c r="G15" i="14" a="1"/>
  <c r="AM28" i="14" a="1"/>
  <c r="AK15" i="14" a="1"/>
  <c r="AL44" i="14" a="1"/>
  <c r="K44" i="14" a="1"/>
  <c r="AT104" i="14" a="1"/>
  <c r="AT71" i="14" a="1"/>
  <c r="K99" i="14" a="1"/>
  <c r="AS94" i="14" a="1"/>
  <c r="I13" i="7" a="1"/>
  <c r="I15" i="7" a="1"/>
  <c r="F14" i="7" a="1"/>
  <c r="E22" i="7" a="1"/>
  <c r="I23" i="7" a="1"/>
  <c r="D23" i="7" a="1"/>
  <c r="G17" i="7" a="1"/>
  <c r="D21" i="7" a="1"/>
  <c r="D14" i="7" a="1"/>
  <c r="I21" i="7" a="1"/>
  <c r="D18" i="7" a="1"/>
  <c r="F24" i="7" a="1"/>
  <c r="G21" i="7" a="1"/>
  <c r="D24" i="7" a="1"/>
  <c r="F16" i="7" a="1"/>
  <c r="F22" i="7" a="1"/>
  <c r="G22" i="7" a="1"/>
  <c r="G23" i="7" a="1"/>
  <c r="E23" i="7" a="1"/>
  <c r="E21" i="7" a="1"/>
  <c r="G15" i="7" a="1"/>
  <c r="E13" i="7" a="1"/>
  <c r="D17" i="7" a="1"/>
  <c r="F17" i="7" a="1"/>
  <c r="I17" i="7" a="1"/>
  <c r="E24" i="7" a="1"/>
  <c r="F21" i="7" a="1"/>
  <c r="I14" i="7" a="1"/>
  <c r="D16" i="7" a="1"/>
  <c r="E17" i="7" a="1"/>
  <c r="F13" i="7" a="1"/>
  <c r="E16" i="7" a="1"/>
  <c r="D13" i="7" a="1"/>
  <c r="I16" i="7" a="1"/>
  <c r="E18" i="7" a="1"/>
  <c r="I24" i="7" a="1"/>
  <c r="I22" i="7" a="1"/>
  <c r="F23" i="7" a="1"/>
  <c r="F18" i="7" a="1"/>
  <c r="E6" i="6" a="1"/>
  <c r="AL11" i="1" a="1"/>
  <c r="D11" i="5" a="1"/>
  <c r="M11" i="1" a="1"/>
  <c r="E11" i="1" a="1"/>
  <c r="E11" i="5" a="1"/>
  <c r="M22" i="1" a="1"/>
  <c r="AK25" i="1" a="1"/>
  <c r="G16" i="7" a="1"/>
  <c r="AJ11" i="1" a="1"/>
  <c r="D11" i="1" a="1"/>
  <c r="AK22" i="1" a="1"/>
  <c r="G24" i="7" a="1"/>
  <c r="G13" i="7" a="1"/>
  <c r="I18" i="7" a="1"/>
  <c r="F11" i="6" a="1"/>
  <c r="H13" i="5" a="1"/>
  <c r="AJ19" i="1" a="1"/>
  <c r="I13" i="5" a="1"/>
  <c r="AJ25" i="1" a="1"/>
  <c r="D19" i="1" a="1"/>
  <c r="K19" i="1" a="1"/>
  <c r="B6" i="6" a="1"/>
  <c r="J22" i="1" a="1"/>
  <c r="K22" i="1" a="1"/>
  <c r="E19" i="1" a="1"/>
  <c r="AJ13" i="5" a="1"/>
  <c r="H25" i="1" a="1"/>
  <c r="AL11" i="5" a="1"/>
  <c r="AL13" i="5" a="1"/>
  <c r="J13" i="5" a="1"/>
  <c r="M11" i="5" a="1"/>
  <c r="J11" i="5" a="1"/>
  <c r="D13" i="5" a="1"/>
  <c r="E13" i="5" a="1"/>
  <c r="D25" i="1" a="1"/>
  <c r="J25" i="1" a="1"/>
  <c r="E11" i="6" a="1"/>
  <c r="D11" i="6" a="1"/>
  <c r="E15" i="7" a="1"/>
  <c r="H22" i="1" a="1"/>
  <c r="M19" i="1" a="1"/>
  <c r="D15" i="7" a="1"/>
  <c r="E14" i="7" a="1"/>
  <c r="F15" i="7" a="1"/>
  <c r="J19" i="7" a="1"/>
  <c r="I25" i="1" a="1"/>
  <c r="AK13" i="5" a="1"/>
  <c r="AK19" i="1" a="1"/>
  <c r="J19" i="1" a="1"/>
  <c r="E25" i="1" a="1"/>
  <c r="H19" i="1" a="1"/>
  <c r="I19" i="1" a="1"/>
  <c r="E22" i="1" a="1"/>
  <c r="G18" i="7" a="1"/>
  <c r="G11" i="6" a="1"/>
  <c r="I22" i="1" a="1"/>
  <c r="AK11" i="5" a="1"/>
  <c r="AK11" i="1" a="1"/>
  <c r="J11" i="1" a="1"/>
  <c r="K11" i="5" a="1"/>
  <c r="H11" i="1" a="1"/>
  <c r="I11" i="1" a="1"/>
  <c r="D22" i="7" a="1"/>
  <c r="I11" i="6" a="1"/>
  <c r="AL19" i="1" a="1"/>
  <c r="M25" i="1" a="1"/>
  <c r="D22" i="1" a="1"/>
  <c r="G14" i="7" a="1"/>
  <c r="H11" i="5" a="1"/>
  <c r="I11" i="5" a="1"/>
  <c r="AJ22" i="1" a="1"/>
  <c r="K11" i="1" a="1"/>
  <c r="M13" i="5" a="1"/>
  <c r="AL25" i="1" a="1"/>
  <c r="AJ11" i="5" a="1"/>
  <c r="AL22" i="1" a="1"/>
  <c r="G20" i="7" a="1"/>
  <c r="B6" i="1" a="1"/>
  <c r="G12" i="7" a="1"/>
  <c r="B6" i="4" a="1"/>
  <c r="K13" i="4" a="1"/>
  <c r="J12" i="4" a="1"/>
  <c r="D25" i="7" a="1"/>
  <c r="J14" i="4" a="1"/>
  <c r="M12" i="4" a="1"/>
  <c r="M13" i="4" a="1"/>
  <c r="E12" i="4" a="1"/>
  <c r="E6" i="4" a="1"/>
  <c r="D19" i="7" a="1"/>
  <c r="I19" i="7" a="1"/>
  <c r="K15" i="4" a="1"/>
  <c r="B6" i="5" a="1"/>
  <c r="F19" i="7" a="1"/>
  <c r="J13" i="4" a="1"/>
  <c r="D20" i="7" a="1"/>
  <c r="E13" i="4" a="1"/>
  <c r="M14" i="4" a="1"/>
  <c r="G25" i="7" a="1"/>
  <c r="E20" i="7" a="1"/>
  <c r="K14" i="4" a="1"/>
  <c r="H15" i="4" a="1"/>
  <c r="E6" i="5" a="1"/>
  <c r="F12" i="7" a="1"/>
  <c r="E15" i="4" a="1"/>
  <c r="H13" i="4" a="1"/>
  <c r="D12" i="4" a="1"/>
  <c r="I14" i="4" a="1"/>
  <c r="F20" i="7" a="1"/>
  <c r="I13" i="4" a="1"/>
  <c r="D13" i="4" a="1"/>
  <c r="E14" i="4" a="1"/>
  <c r="F25" i="7" a="1"/>
  <c r="D14" i="4" a="1"/>
  <c r="E6" i="1" a="1"/>
  <c r="E25" i="7" a="1"/>
  <c r="H14" i="4" a="1"/>
  <c r="E19" i="7" a="1"/>
  <c r="E12" i="7" a="1"/>
  <c r="J15" i="4" a="1"/>
  <c r="D15" i="4" a="1"/>
  <c r="I15" i="4" a="1"/>
  <c r="H12" i="4" a="1"/>
  <c r="I12" i="4" a="1"/>
  <c r="I12" i="7" a="1"/>
  <c r="I25" i="7" a="1"/>
  <c r="I20" i="7" a="1"/>
  <c r="M15" i="4" a="1"/>
  <c r="K12" i="4" a="1"/>
  <c r="G19" i="7" a="1"/>
  <c r="D12" i="7" a="1"/>
  <c r="AI13" i="5" a="1"/>
  <c r="G11" i="7" a="1"/>
  <c r="G11" i="4"/>
  <c r="AI12" i="5" a="1"/>
  <c r="I11" i="7" a="1"/>
  <c r="X11" i="4"/>
  <c r="S11" i="4" a="1"/>
  <c r="AI11" i="5" a="1"/>
  <c r="X21" i="7" a="1"/>
  <c r="AC11" i="4" a="1"/>
  <c r="D11" i="7" a="1"/>
  <c r="B6" i="7" a="1"/>
  <c r="AB11" i="4" a="1"/>
  <c r="F11" i="7" a="1"/>
  <c r="AA11" i="4" a="1"/>
  <c r="E11" i="7" a="1"/>
  <c r="Y11" i="4"/>
  <c r="R11" i="4" a="1"/>
  <c r="Z11" i="4" a="1"/>
  <c r="W21" i="7" a="1"/>
  <c r="AI28" i="1" a="1"/>
  <c r="AI20" i="1" a="1"/>
  <c r="AI12" i="1" a="1"/>
  <c r="AI27" i="1" a="1"/>
  <c r="AI19" i="1" a="1"/>
  <c r="AI26" i="1" a="1"/>
  <c r="AI25" i="1" a="1"/>
  <c r="AI24" i="1" a="1"/>
  <c r="AI23" i="1" a="1"/>
  <c r="AI11" i="1" a="1"/>
  <c r="AI22" i="1" a="1"/>
  <c r="AI14" i="1" a="1"/>
  <c r="AI21" i="1" a="1"/>
  <c r="AI13" i="1" a="1"/>
  <c r="AI18" i="1" a="1"/>
  <c r="AI17" i="1" a="1"/>
  <c r="AI16" i="1" a="1"/>
  <c r="AI15" i="1" a="1"/>
  <c r="AF21" i="1" a="1"/>
  <c r="AF20" i="1" a="1"/>
  <c r="AF18" i="1" a="1"/>
  <c r="AF15" i="1" a="1"/>
  <c r="K18" i="1" a="1"/>
  <c r="I20" i="1" a="1"/>
  <c r="M21" i="1" a="1"/>
  <c r="D21" i="1" a="1"/>
  <c r="AK18" i="1" a="1"/>
  <c r="D24" i="1" a="1"/>
  <c r="E20" i="1" a="1"/>
  <c r="AK15" i="1" a="1"/>
  <c r="AJ15" i="1" a="1"/>
  <c r="AK20" i="1" a="1"/>
  <c r="K20" i="1" a="1"/>
  <c r="AJ24" i="1" a="1"/>
  <c r="H20" i="1" a="1"/>
  <c r="I15" i="1" a="1"/>
  <c r="AL20" i="1" a="1"/>
  <c r="D18" i="1" a="1"/>
  <c r="AK24" i="1" a="1"/>
  <c r="E15" i="1" a="1"/>
  <c r="J18" i="1" a="1"/>
  <c r="I18" i="1" a="1"/>
  <c r="J21" i="1" a="1"/>
  <c r="AL21" i="1" a="1"/>
  <c r="K15" i="1" a="1"/>
  <c r="E18" i="1" a="1"/>
  <c r="AJ21" i="1" a="1"/>
  <c r="AL15" i="1" a="1"/>
  <c r="I24" i="1" a="1"/>
  <c r="AL18" i="1" a="1"/>
  <c r="E24" i="1" a="1"/>
  <c r="K21" i="1" a="1"/>
  <c r="I21" i="1" a="1"/>
  <c r="M24" i="1" a="1"/>
  <c r="E21" i="1" a="1"/>
  <c r="J15" i="1" a="1"/>
  <c r="M20" i="1" a="1"/>
  <c r="AK21" i="1" a="1"/>
  <c r="H15" i="1" a="1"/>
  <c r="M18" i="1" a="1"/>
  <c r="J24" i="1" a="1"/>
  <c r="J20" i="1" a="1"/>
  <c r="H24" i="1" a="1"/>
  <c r="AL24" i="1" a="1"/>
  <c r="M15" i="1" a="1"/>
  <c r="H21" i="1" a="1"/>
  <c r="AJ20" i="1" a="1"/>
  <c r="D20" i="1" a="1"/>
  <c r="H18" i="1" a="1"/>
  <c r="D15" i="1" a="1"/>
  <c r="AJ18" i="1" a="1"/>
  <c r="Q11" i="4"/>
  <c r="B11" i="6"/>
  <c r="B11" i="7"/>
  <c r="J16" i="4" a="1"/>
  <c r="N11" i="4" a="1"/>
  <c r="B11" i="1"/>
  <c r="D16" i="4" a="1"/>
  <c r="M16" i="4" a="1"/>
  <c r="I16" i="4" a="1"/>
  <c r="H16" i="4" a="1"/>
  <c r="E16" i="4" a="1"/>
  <c r="B11" i="4"/>
  <c r="C69" i="12" a="1"/>
  <c r="F13" i="12" a="1"/>
  <c r="D75" i="12" a="1"/>
  <c r="C73" i="12" a="1"/>
  <c r="C70" i="12" a="1"/>
  <c r="G58" i="12" a="1"/>
  <c r="D69" i="12" a="1"/>
  <c r="G55" i="12" a="1"/>
  <c r="B54" i="12" a="1"/>
  <c r="D86" i="12" a="1"/>
  <c r="C92" i="12" a="1"/>
  <c r="C71" i="12" a="1"/>
  <c r="D68" i="12" a="1"/>
  <c r="B117" i="12" a="1"/>
  <c r="D6" i="12" a="1"/>
  <c r="C107" i="12" a="1"/>
  <c r="D95" i="12" a="1"/>
  <c r="B105" i="12" a="1"/>
  <c r="C90" i="12" a="1"/>
  <c r="C67" i="12" a="1"/>
  <c r="D103" i="12" a="1"/>
  <c r="I11" i="12" a="1"/>
  <c r="C101" i="12" a="1"/>
  <c r="C82" i="12" a="1"/>
  <c r="D79" i="12" a="1"/>
  <c r="C109" i="12" a="1"/>
  <c r="D89" i="12" a="1"/>
  <c r="C97" i="12" a="1"/>
  <c r="C98" i="12" a="1"/>
  <c r="D63" i="12" a="1"/>
  <c r="F18" i="12" a="1"/>
  <c r="C94" i="12" a="1"/>
  <c r="B77" i="12" a="1"/>
  <c r="B11" i="5"/>
  <c r="D115" i="12" a="1"/>
  <c r="C86" i="12" a="1"/>
  <c r="D100" i="12" a="1"/>
  <c r="C77" i="12" a="1"/>
  <c r="C79" i="12" a="1"/>
  <c r="D112" i="12" a="1"/>
  <c r="C91" i="12" a="1"/>
  <c r="C60" i="12" a="1"/>
  <c r="C85" i="12" a="1"/>
  <c r="D99" i="12" a="1"/>
  <c r="C96" i="12" a="1"/>
  <c r="C20" i="12" a="1"/>
  <c r="F12" i="12" a="1"/>
  <c r="C59" i="12" a="1"/>
  <c r="D65" i="12" a="1"/>
  <c r="D81" i="12" a="1"/>
  <c r="D61" i="12" a="1"/>
  <c r="D59" i="12" a="1"/>
  <c r="D71" i="12" a="1"/>
  <c r="C100" i="12" a="1"/>
  <c r="C19" i="12" a="1"/>
  <c r="C80" i="12" a="1"/>
  <c r="C10" i="12" a="1"/>
  <c r="C102" i="12" a="1"/>
  <c r="C54" i="12" a="1"/>
  <c r="D85" i="12" a="1"/>
  <c r="D111" i="12" a="1"/>
  <c r="D108" i="12" a="1"/>
  <c r="C78" i="12" a="1"/>
  <c r="C55" i="12" a="1"/>
  <c r="D60" i="12" a="1"/>
  <c r="I10" i="12" a="1"/>
  <c r="D94" i="12" a="1"/>
  <c r="D107" i="12" a="1"/>
  <c r="F11" i="12" a="1"/>
  <c r="C61" i="12" a="1"/>
  <c r="D70" i="12" a="1"/>
  <c r="D73" i="12" a="1"/>
  <c r="C64" i="12" a="1"/>
  <c r="C13" i="12" a="1"/>
  <c r="C12" i="12" a="1"/>
  <c r="C115" i="12" a="1"/>
  <c r="D64" i="12" a="1"/>
  <c r="C68" i="12" a="1"/>
  <c r="D56" i="12" a="1"/>
  <c r="D80" i="12" a="1"/>
  <c r="C87" i="12" a="1"/>
  <c r="C21" i="12" a="1"/>
  <c r="B85" i="12" a="1"/>
  <c r="C15" i="12"/>
  <c r="C81" i="12" a="1"/>
  <c r="D62" i="12" a="1"/>
  <c r="C66" i="12" a="1"/>
  <c r="D110" i="12" a="1"/>
  <c r="C89" i="12" a="1"/>
  <c r="C57" i="12" a="1"/>
  <c r="I15" i="12" a="1"/>
  <c r="C56" i="12" a="1"/>
  <c r="F17" i="12" a="1"/>
  <c r="D114" i="12" a="1"/>
  <c r="C72" i="12" a="1"/>
  <c r="C112" i="12" a="1"/>
  <c r="D97" i="12" a="1"/>
  <c r="D93" i="12" a="1"/>
  <c r="C83" i="12" a="1"/>
  <c r="D55" i="12" a="1"/>
  <c r="C110" i="12" a="1"/>
  <c r="D91" i="12" a="1"/>
  <c r="C114" i="12" a="1"/>
  <c r="D87" i="12" a="1"/>
  <c r="D54" i="12" a="1"/>
  <c r="I16" i="12" a="1"/>
  <c r="D82" i="12" a="1"/>
  <c r="C106" i="12" a="1"/>
  <c r="AH13" i="1" a="1"/>
  <c r="M52" i="12" a="1"/>
  <c r="D57" i="12" a="1"/>
  <c r="AE13" i="1" a="1"/>
  <c r="AE26" i="1" a="1"/>
  <c r="AE18" i="1" a="1"/>
  <c r="D106" i="12" a="1"/>
  <c r="I14" i="12"/>
  <c r="C103" i="12" a="1"/>
  <c r="D78" i="12" a="1"/>
  <c r="AE14" i="1" a="1"/>
  <c r="AH24" i="1" a="1"/>
  <c r="D88" i="12" a="1"/>
  <c r="AE21" i="1" a="1"/>
  <c r="AH28" i="1" a="1"/>
  <c r="AH20" i="1" a="1"/>
  <c r="AH12" i="1" a="1"/>
  <c r="I13" i="12" a="1"/>
  <c r="C11" i="12" a="1"/>
  <c r="C108" i="12" a="1"/>
  <c r="G56" i="12" a="1"/>
  <c r="D66" i="12" a="1"/>
  <c r="I53" i="12" a="1"/>
  <c r="AH11" i="1" a="1"/>
  <c r="F15" i="12" a="1"/>
  <c r="B134" i="12" a="1"/>
  <c r="AE16" i="1" a="1"/>
  <c r="AH26" i="1" a="1"/>
  <c r="AH13" i="5" a="1"/>
  <c r="AE15" i="1" a="1"/>
  <c r="AH25" i="1" a="1"/>
  <c r="AH17" i="1" a="1"/>
  <c r="AH12" i="5" a="1"/>
  <c r="C111" i="12" a="1"/>
  <c r="G57" i="12" a="1"/>
  <c r="AE22" i="1" a="1"/>
  <c r="C105" i="12" a="1"/>
  <c r="AH16" i="1" a="1"/>
  <c r="D98" i="12" a="1"/>
  <c r="P39" i="12" a="1"/>
  <c r="C117" i="12" a="1"/>
  <c r="AE25" i="1" a="1"/>
  <c r="AE17" i="1" a="1"/>
  <c r="D101" i="12" a="1"/>
  <c r="AH27" i="1" a="1"/>
  <c r="AH19" i="1" a="1"/>
  <c r="D117" i="12" a="1"/>
  <c r="D105" i="12" a="1"/>
  <c r="C99" i="12" a="1"/>
  <c r="D83" i="12" a="1"/>
  <c r="AE24" i="1" a="1"/>
  <c r="D109" i="12" a="1"/>
  <c r="AH18" i="1" a="1"/>
  <c r="C88" i="12" a="1"/>
  <c r="C58" i="12" a="1"/>
  <c r="C17" i="12" a="1"/>
  <c r="C65" i="12" a="1"/>
  <c r="G52" i="12" a="1"/>
  <c r="F62" i="12" a="1"/>
  <c r="AE23" i="1" a="1"/>
  <c r="C75" i="12" a="1"/>
  <c r="C93" i="12" a="1"/>
  <c r="P36" i="12" a="1"/>
  <c r="C62" i="12" a="1"/>
  <c r="I12" i="12" a="1"/>
  <c r="AH23" i="1" a="1"/>
  <c r="AH15" i="1" a="1"/>
  <c r="D102" i="12" a="1"/>
  <c r="D58" i="12" a="1"/>
  <c r="D74" i="12" a="1"/>
  <c r="C16" i="12"/>
  <c r="F16" i="12" a="1"/>
  <c r="C63" i="12" a="1"/>
  <c r="P53" i="12" a="1"/>
  <c r="AE28" i="1" a="1"/>
  <c r="AE20" i="1" a="1"/>
  <c r="AE12" i="1" a="1"/>
  <c r="D96" i="12" a="1"/>
  <c r="G53" i="12" a="1"/>
  <c r="AH22" i="1" a="1"/>
  <c r="AH14" i="1" a="1"/>
  <c r="D92" i="12" a="1"/>
  <c r="C95" i="12" a="1"/>
  <c r="F10" i="12" a="1"/>
  <c r="D90" i="12" a="1"/>
  <c r="P12" i="12" a="1"/>
  <c r="AE27" i="1" a="1"/>
  <c r="AE19" i="1" a="1"/>
  <c r="AE11" i="1" a="1"/>
  <c r="AH21" i="1" a="1"/>
  <c r="D77" i="12" a="1"/>
  <c r="D72" i="12" a="1"/>
  <c r="C74" i="12" a="1"/>
  <c r="D67" i="12" a="1"/>
  <c r="AH11" i="5" a="1"/>
  <c r="AO12" i="5" a="1"/>
  <c r="AG21" i="1"/>
  <c r="AD23" i="1"/>
  <c r="AG20" i="1"/>
  <c r="AD22" i="1"/>
  <c r="AG18" i="1"/>
  <c r="AD20" i="1"/>
  <c r="AK27" i="1" a="1"/>
  <c r="E27" i="1" a="1"/>
  <c r="D27" i="1" a="1"/>
  <c r="M27" i="1" a="1"/>
  <c r="J18" i="4" a="1"/>
  <c r="AG17" i="1"/>
  <c r="AD19" i="1"/>
  <c r="AG14" i="1"/>
  <c r="AD16" i="1"/>
  <c r="AG13" i="1"/>
  <c r="AD15" i="1"/>
  <c r="I123" i="14" a="1"/>
  <c r="I115" i="14" a="1"/>
  <c r="AG28" i="1"/>
  <c r="AG12" i="1"/>
  <c r="AD14" i="1"/>
  <c r="AJ26" i="1" a="1"/>
  <c r="E20" i="4" a="1"/>
  <c r="D20" i="4" a="1"/>
  <c r="M20" i="4" a="1"/>
  <c r="J27" i="1" a="1"/>
  <c r="I18" i="4" a="1"/>
  <c r="H17" i="4" a="1"/>
  <c r="D28" i="6" a="1"/>
  <c r="T159" i="14" a="1"/>
  <c r="T151" i="14" a="1"/>
  <c r="T143" i="14" a="1"/>
  <c r="T135" i="14" a="1"/>
  <c r="T127" i="14" a="1"/>
  <c r="T119" i="14" a="1"/>
  <c r="T111" i="14" a="1"/>
  <c r="I155" i="14" a="1"/>
  <c r="I147" i="14" a="1"/>
  <c r="I139" i="14" a="1"/>
  <c r="I131" i="14" a="1"/>
  <c r="AD13" i="5"/>
  <c r="AG27" i="1"/>
  <c r="AG11" i="1"/>
  <c r="AD13" i="1"/>
  <c r="J26" i="1" a="1"/>
  <c r="I17" i="4" a="1"/>
  <c r="D27" i="6" a="1"/>
  <c r="T158" i="14" a="1"/>
  <c r="T142" i="14" a="1"/>
  <c r="T126" i="14" a="1"/>
  <c r="I146" i="14" a="1"/>
  <c r="I138" i="14" a="1"/>
  <c r="I130" i="14" a="1"/>
  <c r="I122" i="14" a="1"/>
  <c r="I114" i="14" a="1"/>
  <c r="AG25" i="1"/>
  <c r="AD27" i="1"/>
  <c r="AD11" i="1"/>
  <c r="AD12" i="5"/>
  <c r="AG26" i="1"/>
  <c r="AD28" i="1"/>
  <c r="AD12" i="1"/>
  <c r="AL28" i="1" a="1"/>
  <c r="E19" i="4" a="1"/>
  <c r="D19" i="4" a="1"/>
  <c r="M19" i="4" a="1"/>
  <c r="E28" i="6" a="1"/>
  <c r="H28" i="1" a="1"/>
  <c r="T150" i="14" a="1"/>
  <c r="T134" i="14" a="1"/>
  <c r="T118" i="14" a="1"/>
  <c r="I154" i="14" a="1"/>
  <c r="AD11" i="5"/>
  <c r="AG23" i="1"/>
  <c r="AD25" i="1"/>
  <c r="AG22" i="1"/>
  <c r="AD24" i="1"/>
  <c r="AL26" i="1" a="1"/>
  <c r="E17" i="4" a="1"/>
  <c r="D17" i="4" a="1"/>
  <c r="M17" i="4" a="1"/>
  <c r="I28" i="6" a="1"/>
  <c r="J20" i="4" a="1"/>
  <c r="I27" i="1" a="1"/>
  <c r="H26" i="1" a="1"/>
  <c r="T156" i="14" a="1"/>
  <c r="T148" i="14" a="1"/>
  <c r="T140" i="14" a="1"/>
  <c r="T132" i="14" a="1"/>
  <c r="T124" i="14" a="1"/>
  <c r="T116" i="14" a="1"/>
  <c r="E21" i="4" a="1"/>
  <c r="M26" i="1" a="1"/>
  <c r="I28" i="1" a="1"/>
  <c r="T112" i="14" a="1"/>
  <c r="I151" i="14" a="1"/>
  <c r="I128" i="14" a="1"/>
  <c r="I117" i="14" a="1"/>
  <c r="E18" i="4" a="1"/>
  <c r="T153" i="14" a="1"/>
  <c r="T123" i="14" a="1"/>
  <c r="I140" i="14" a="1"/>
  <c r="I127" i="14" a="1"/>
  <c r="I26" i="1" a="1"/>
  <c r="I150" i="14" a="1"/>
  <c r="I116" i="14" a="1"/>
  <c r="T137" i="14" a="1"/>
  <c r="H20" i="4" a="1"/>
  <c r="I159" i="14" a="1"/>
  <c r="I112" i="14" a="1"/>
  <c r="AN12" i="5" a="1"/>
  <c r="AG19" i="1"/>
  <c r="E28" i="1" a="1"/>
  <c r="H21" i="4" a="1"/>
  <c r="AG16" i="1"/>
  <c r="T152" i="14" a="1"/>
  <c r="I126" i="14" a="1"/>
  <c r="T121" i="14" a="1"/>
  <c r="I135" i="14" a="1"/>
  <c r="I158" i="14" a="1"/>
  <c r="I111" i="14" a="1"/>
  <c r="AG15" i="1"/>
  <c r="E26" i="1" a="1"/>
  <c r="I27" i="6" a="1"/>
  <c r="I149" i="14" a="1"/>
  <c r="AD18" i="1"/>
  <c r="F27" i="6" a="1"/>
  <c r="AD26" i="1"/>
  <c r="F28" i="6" a="1"/>
  <c r="D18" i="4" a="1"/>
  <c r="AD21" i="1"/>
  <c r="D21" i="4" a="1"/>
  <c r="H19" i="4" a="1"/>
  <c r="T147" i="14" a="1"/>
  <c r="T133" i="14" a="1"/>
  <c r="T120" i="14" a="1"/>
  <c r="AD17" i="1"/>
  <c r="AJ28" i="1" a="1"/>
  <c r="D28" i="1" a="1"/>
  <c r="E27" i="6" a="1"/>
  <c r="H18" i="4" a="1"/>
  <c r="T146" i="14" a="1"/>
  <c r="T131" i="14" a="1"/>
  <c r="T117" i="14" a="1"/>
  <c r="I145" i="14" a="1"/>
  <c r="I134" i="14" a="1"/>
  <c r="I157" i="14" a="1"/>
  <c r="I120" i="14" a="1"/>
  <c r="T113" i="14" a="1"/>
  <c r="J21" i="4" a="1"/>
  <c r="H27" i="1" a="1"/>
  <c r="I121" i="14" a="1"/>
  <c r="J17" i="4" a="1"/>
  <c r="T141" i="14" a="1"/>
  <c r="I142" i="14" a="1"/>
  <c r="M28" i="1" a="1"/>
  <c r="I124" i="14" a="1"/>
  <c r="AJ27" i="1" a="1"/>
  <c r="D26" i="1" a="1"/>
  <c r="T160" i="14" a="1"/>
  <c r="T145" i="14" a="1"/>
  <c r="T130" i="14" a="1"/>
  <c r="T115" i="14" a="1"/>
  <c r="I144" i="14" a="1"/>
  <c r="I133" i="14" a="1"/>
  <c r="I156" i="14" a="1"/>
  <c r="I143" i="14" a="1"/>
  <c r="AK26" i="1" a="1"/>
  <c r="I129" i="14" a="1"/>
  <c r="I118" i="14" a="1"/>
  <c r="I137" i="14" a="1"/>
  <c r="AL27" i="1" a="1"/>
  <c r="J19" i="4" a="1"/>
  <c r="T157" i="14" a="1"/>
  <c r="M18" i="4" a="1"/>
  <c r="AK28" i="1" a="1"/>
  <c r="M21" i="4" a="1"/>
  <c r="I21" i="4" a="1"/>
  <c r="T144" i="14" a="1"/>
  <c r="T129" i="14" a="1"/>
  <c r="T114" i="14" a="1"/>
  <c r="I132" i="14" a="1"/>
  <c r="I119" i="14" a="1"/>
  <c r="I20" i="4" a="1"/>
  <c r="T155" i="14" a="1"/>
  <c r="I153" i="14" a="1"/>
  <c r="T128" i="14" a="1"/>
  <c r="T149" i="14" a="1"/>
  <c r="I160" i="14" a="1"/>
  <c r="I113" i="14" a="1"/>
  <c r="T136" i="14" a="1"/>
  <c r="I125" i="14" a="1"/>
  <c r="J28" i="1" a="1"/>
  <c r="I19" i="4" a="1"/>
  <c r="T154" i="14" a="1"/>
  <c r="T139" i="14" a="1"/>
  <c r="T125" i="14" a="1"/>
  <c r="I152" i="14" a="1"/>
  <c r="I141" i="14" a="1"/>
  <c r="AG24" i="1"/>
  <c r="T138" i="14" a="1"/>
  <c r="T122" i="14" a="1"/>
  <c r="I136" i="14" a="1"/>
  <c r="I148" i="14" a="1"/>
  <c r="U23" i="1" l="1"/>
  <c r="P25" i="6"/>
  <c r="P24" i="6"/>
  <c r="U16" i="1"/>
  <c r="U14" i="1"/>
  <c r="P19" i="6"/>
  <c r="P23" i="6"/>
  <c r="U13" i="1"/>
  <c r="P22" i="6"/>
  <c r="P20" i="6"/>
  <c r="U12" i="1"/>
  <c r="P21" i="6"/>
  <c r="U17" i="1"/>
  <c r="P15" i="6"/>
  <c r="T14" i="14"/>
  <c r="P17" i="6"/>
  <c r="P18" i="6"/>
  <c r="P16" i="6"/>
  <c r="T49" i="14"/>
  <c r="P13" i="6"/>
  <c r="J55" i="14"/>
  <c r="V37" i="14"/>
  <c r="P12" i="6"/>
  <c r="T102" i="14"/>
  <c r="P14" i="6"/>
  <c r="T59" i="14"/>
  <c r="T97" i="14"/>
  <c r="T34" i="14"/>
  <c r="T22" i="14"/>
  <c r="T62" i="14"/>
  <c r="P21" i="7"/>
  <c r="P18" i="7"/>
  <c r="P24" i="7"/>
  <c r="P15" i="7"/>
  <c r="P17" i="7"/>
  <c r="AE49" i="14"/>
  <c r="P16" i="7"/>
  <c r="AE22" i="14"/>
  <c r="AE102" i="14"/>
  <c r="AE97" i="14"/>
  <c r="AE59" i="14"/>
  <c r="P13" i="7"/>
  <c r="T19" i="14"/>
  <c r="P22" i="7"/>
  <c r="AE14" i="14"/>
  <c r="P14" i="7"/>
  <c r="T103" i="14"/>
  <c r="N96" i="14"/>
  <c r="T76" i="14"/>
  <c r="T60" i="14"/>
  <c r="T73" i="14"/>
  <c r="T43" i="14"/>
  <c r="T82" i="14"/>
  <c r="T57" i="14"/>
  <c r="U22" i="1"/>
  <c r="T70" i="14"/>
  <c r="T83" i="14"/>
  <c r="U11" i="1"/>
  <c r="U15" i="4"/>
  <c r="U12" i="4"/>
  <c r="U13" i="4"/>
  <c r="P11" i="6"/>
  <c r="U14" i="4"/>
  <c r="P23" i="7"/>
  <c r="U11" i="5"/>
  <c r="P25" i="7"/>
  <c r="P19" i="7"/>
  <c r="T61" i="14"/>
  <c r="T18" i="14"/>
  <c r="P20" i="7"/>
  <c r="P12" i="7"/>
  <c r="T96" i="14"/>
  <c r="T75" i="14"/>
  <c r="T16" i="14"/>
  <c r="T13" i="14"/>
  <c r="T26" i="14"/>
  <c r="T56" i="14"/>
  <c r="P11" i="7"/>
  <c r="T32" i="14"/>
  <c r="T24" i="14"/>
  <c r="T42" i="14"/>
  <c r="T65" i="14"/>
  <c r="J83" i="14"/>
  <c r="J60" i="14"/>
  <c r="J82" i="14"/>
  <c r="J19" i="14"/>
  <c r="J32" i="14"/>
  <c r="J24" i="14"/>
  <c r="J102" i="14"/>
  <c r="J26" i="14"/>
  <c r="J73" i="14"/>
  <c r="J65" i="14"/>
  <c r="AE34" i="14"/>
  <c r="J18" i="14"/>
  <c r="AE32" i="14"/>
  <c r="AE24" i="14"/>
  <c r="J75" i="14"/>
  <c r="J49" i="14"/>
  <c r="J22" i="14"/>
  <c r="J43" i="14"/>
  <c r="J41" i="16"/>
  <c r="L30" i="16"/>
  <c r="L41" i="16"/>
  <c r="I14" i="16"/>
  <c r="K30" i="16"/>
  <c r="I16" i="16"/>
  <c r="K16" i="16"/>
  <c r="I17" i="16"/>
  <c r="J16" i="16"/>
  <c r="J14" i="16"/>
  <c r="K17" i="16"/>
  <c r="J17" i="16"/>
  <c r="I41" i="16"/>
  <c r="K14" i="16"/>
  <c r="L17" i="16"/>
  <c r="K41" i="16"/>
  <c r="L14" i="16"/>
  <c r="L16" i="16"/>
  <c r="J30" i="16"/>
  <c r="I30" i="16"/>
  <c r="AE96" i="14"/>
  <c r="AE61" i="14"/>
  <c r="AE62" i="14"/>
  <c r="AE19" i="14"/>
  <c r="AE18" i="14"/>
  <c r="AE103" i="14"/>
  <c r="AE56" i="14"/>
  <c r="AE57" i="14"/>
  <c r="AE43" i="14"/>
  <c r="AI102" i="14"/>
  <c r="AE83" i="14"/>
  <c r="AI22" i="14"/>
  <c r="AI49" i="14"/>
  <c r="AE26" i="14"/>
  <c r="AE16" i="14"/>
  <c r="T109" i="14"/>
  <c r="AE75" i="14"/>
  <c r="AE60" i="14"/>
  <c r="AE13" i="14"/>
  <c r="AE82" i="14"/>
  <c r="T110" i="14"/>
  <c r="AE70" i="14"/>
  <c r="AE65" i="14"/>
  <c r="V96" i="14"/>
  <c r="AE76" i="14"/>
  <c r="AE42" i="14"/>
  <c r="AE73" i="14"/>
  <c r="T90" i="14"/>
  <c r="T91" i="14"/>
  <c r="AI16" i="14"/>
  <c r="T93" i="14"/>
  <c r="T107" i="14"/>
  <c r="AI13" i="14"/>
  <c r="T105" i="14"/>
  <c r="AI43" i="14"/>
  <c r="T74" i="14"/>
  <c r="AI83" i="14"/>
  <c r="AI18" i="14"/>
  <c r="T84" i="14"/>
  <c r="T88" i="14"/>
  <c r="U20" i="1"/>
  <c r="T87" i="14"/>
  <c r="AI65" i="14"/>
  <c r="AI73" i="14"/>
  <c r="AI96" i="14"/>
  <c r="T79" i="14"/>
  <c r="AI82" i="14"/>
  <c r="U21" i="1"/>
  <c r="U18" i="1"/>
  <c r="AI76" i="14"/>
  <c r="AI19" i="14"/>
  <c r="S26" i="6"/>
  <c r="N26" i="6"/>
  <c r="U19" i="1"/>
  <c r="V26" i="6"/>
  <c r="T92" i="14"/>
  <c r="U26" i="6"/>
  <c r="W26" i="6"/>
  <c r="T26" i="6"/>
  <c r="T108" i="14"/>
  <c r="T78" i="14"/>
  <c r="T55" i="14"/>
  <c r="T54" i="14"/>
  <c r="T52" i="14"/>
  <c r="U15" i="1"/>
  <c r="T53" i="14"/>
  <c r="T68" i="14"/>
  <c r="T80" i="14"/>
  <c r="T41" i="14"/>
  <c r="T72" i="14"/>
  <c r="T27" i="14"/>
  <c r="T48" i="14"/>
  <c r="T39" i="14"/>
  <c r="T46" i="14"/>
  <c r="T47" i="14"/>
  <c r="T29" i="14"/>
  <c r="T89" i="14"/>
  <c r="T23" i="14"/>
  <c r="T31" i="14"/>
  <c r="T77" i="14"/>
  <c r="T86" i="14"/>
  <c r="T58" i="14"/>
  <c r="T33" i="14"/>
  <c r="T64" i="14"/>
  <c r="T67" i="14"/>
  <c r="T11" i="14"/>
  <c r="T50" i="14"/>
  <c r="T21" i="14"/>
  <c r="T12" i="14"/>
  <c r="T35" i="14"/>
  <c r="T20" i="14"/>
  <c r="T25" i="14"/>
  <c r="T51" i="14"/>
  <c r="AE51" i="14"/>
  <c r="AE50" i="14"/>
  <c r="AE48" i="14"/>
  <c r="AE53" i="14"/>
  <c r="AE52" i="14"/>
  <c r="T40" i="14"/>
  <c r="V40" i="14"/>
  <c r="AE93" i="14"/>
  <c r="V93" i="14"/>
  <c r="AE109" i="14"/>
  <c r="V107" i="14"/>
  <c r="V105" i="14"/>
  <c r="N40" i="14"/>
  <c r="N37" i="14"/>
  <c r="N93" i="14"/>
  <c r="N105" i="14"/>
  <c r="N107" i="14"/>
  <c r="AE64" i="14"/>
  <c r="AE58" i="14"/>
  <c r="AE67" i="14"/>
  <c r="AE88" i="14"/>
  <c r="AE68" i="14"/>
  <c r="T98" i="14"/>
  <c r="AE92" i="14"/>
  <c r="T100" i="14"/>
  <c r="T99" i="14"/>
  <c r="AE12" i="14"/>
  <c r="AE23" i="14"/>
  <c r="AE80" i="14"/>
  <c r="AE74" i="14"/>
  <c r="AE72" i="14"/>
  <c r="AE87" i="14"/>
  <c r="AE84" i="14"/>
  <c r="AE91" i="14"/>
  <c r="AE90" i="14"/>
  <c r="AE20" i="14"/>
  <c r="AE40" i="14"/>
  <c r="AE77" i="14"/>
  <c r="AE27" i="14"/>
  <c r="AE11" i="14"/>
  <c r="AE110" i="14"/>
  <c r="AE78" i="14"/>
  <c r="T94" i="14"/>
  <c r="AE79" i="14"/>
  <c r="T85" i="14"/>
  <c r="AE71" i="14"/>
  <c r="AE108" i="14"/>
  <c r="AE66" i="14"/>
  <c r="T104" i="14"/>
  <c r="S14" i="1"/>
  <c r="S17" i="1"/>
  <c r="AE55" i="14"/>
  <c r="S13" i="1"/>
  <c r="S16" i="1"/>
  <c r="AE89" i="14"/>
  <c r="AE54" i="14"/>
  <c r="S12" i="1"/>
  <c r="S23" i="1"/>
  <c r="AE33" i="14"/>
  <c r="Z14" i="1"/>
  <c r="AB14" i="1"/>
  <c r="AA16" i="1"/>
  <c r="AB12" i="1"/>
  <c r="R12" i="1"/>
  <c r="T101" i="14"/>
  <c r="Z12" i="1"/>
  <c r="AC17" i="1"/>
  <c r="R16" i="1"/>
  <c r="AB16" i="1"/>
  <c r="AA23" i="1"/>
  <c r="AE21" i="14"/>
  <c r="AC12" i="1"/>
  <c r="Z23" i="1"/>
  <c r="AC14" i="1"/>
  <c r="AB13" i="1"/>
  <c r="AE86" i="14"/>
  <c r="R23" i="1"/>
  <c r="R17" i="1"/>
  <c r="Z16" i="1"/>
  <c r="AA13" i="1"/>
  <c r="Z17" i="1"/>
  <c r="AB17" i="1"/>
  <c r="T45" i="14"/>
  <c r="Z13" i="1"/>
  <c r="AC23" i="1"/>
  <c r="R13" i="1"/>
  <c r="AB23" i="1"/>
  <c r="AA14" i="1"/>
  <c r="R14" i="1"/>
  <c r="T106" i="14"/>
  <c r="AA12" i="1"/>
  <c r="AC13" i="1"/>
  <c r="AC16" i="1"/>
  <c r="AA17" i="1"/>
  <c r="T38" i="14"/>
  <c r="N24" i="6"/>
  <c r="S19" i="6"/>
  <c r="S20" i="6"/>
  <c r="T13" i="6"/>
  <c r="S14" i="6"/>
  <c r="S13" i="6"/>
  <c r="V12" i="6"/>
  <c r="V23" i="6"/>
  <c r="N21" i="6"/>
  <c r="U13" i="6"/>
  <c r="T16" i="6"/>
  <c r="N23" i="6"/>
  <c r="V24" i="6"/>
  <c r="T69" i="14"/>
  <c r="U25" i="6"/>
  <c r="W14" i="6"/>
  <c r="U17" i="6"/>
  <c r="T15" i="6"/>
  <c r="U22" i="6"/>
  <c r="U19" i="6"/>
  <c r="V15" i="6"/>
  <c r="U14" i="6"/>
  <c r="W19" i="6"/>
  <c r="W20" i="6"/>
  <c r="T22" i="6"/>
  <c r="N16" i="6"/>
  <c r="U12" i="6"/>
  <c r="S23" i="6"/>
  <c r="S17" i="6"/>
  <c r="V14" i="6"/>
  <c r="V13" i="6"/>
  <c r="N22" i="6"/>
  <c r="U15" i="6"/>
  <c r="N18" i="6"/>
  <c r="T12" i="6"/>
  <c r="W16" i="6"/>
  <c r="W18" i="6"/>
  <c r="V20" i="6"/>
  <c r="W13" i="6"/>
  <c r="N19" i="6"/>
  <c r="W23" i="6"/>
  <c r="S21" i="6"/>
  <c r="T24" i="6"/>
  <c r="N20" i="6"/>
  <c r="T25" i="6"/>
  <c r="U20" i="6"/>
  <c r="W24" i="6"/>
  <c r="V18" i="6"/>
  <c r="N13" i="6"/>
  <c r="T23" i="6"/>
  <c r="S16" i="6"/>
  <c r="U21" i="6"/>
  <c r="N12" i="6"/>
  <c r="N14" i="6"/>
  <c r="W15" i="6"/>
  <c r="V21" i="6"/>
  <c r="S12" i="6"/>
  <c r="T18" i="6"/>
  <c r="S22" i="6"/>
  <c r="W21" i="6"/>
  <c r="W22" i="6"/>
  <c r="N17" i="6"/>
  <c r="U24" i="6"/>
  <c r="N15" i="6"/>
  <c r="T14" i="6"/>
  <c r="U23" i="6"/>
  <c r="V19" i="6"/>
  <c r="W12" i="6"/>
  <c r="W25" i="6"/>
  <c r="U18" i="6"/>
  <c r="S24" i="6"/>
  <c r="S18" i="6"/>
  <c r="V25" i="6"/>
  <c r="T19" i="6"/>
  <c r="U16" i="6"/>
  <c r="T21" i="6"/>
  <c r="S25" i="6"/>
  <c r="V22" i="6"/>
  <c r="S15" i="6"/>
  <c r="T17" i="6"/>
  <c r="W17" i="6"/>
  <c r="N25" i="6"/>
  <c r="V17" i="6"/>
  <c r="V16" i="6"/>
  <c r="T20" i="6"/>
  <c r="T28" i="14"/>
  <c r="T95" i="14"/>
  <c r="AE98" i="14"/>
  <c r="AE100" i="14"/>
  <c r="T15" i="14"/>
  <c r="AE99" i="14"/>
  <c r="T30" i="14"/>
  <c r="AE29" i="14"/>
  <c r="T81" i="14"/>
  <c r="T36" i="14"/>
  <c r="AE31" i="14"/>
  <c r="AE25" i="14"/>
  <c r="AE30" i="14"/>
  <c r="AE35" i="14"/>
  <c r="T63" i="14"/>
  <c r="AE105" i="14"/>
  <c r="AE104" i="14"/>
  <c r="AE107" i="14"/>
  <c r="T17" i="14"/>
  <c r="J45" i="14"/>
  <c r="J78" i="14"/>
  <c r="J79" i="14"/>
  <c r="J31" i="14"/>
  <c r="J108" i="14"/>
  <c r="J37" i="14"/>
  <c r="J28" i="14"/>
  <c r="J46" i="14"/>
  <c r="J94" i="14"/>
  <c r="AE47" i="14"/>
  <c r="AE39" i="14"/>
  <c r="AE45" i="14"/>
  <c r="AE38" i="14"/>
  <c r="J20" i="14"/>
  <c r="J66" i="14"/>
  <c r="J53" i="14"/>
  <c r="J39" i="14"/>
  <c r="J81" i="14"/>
  <c r="J87" i="14"/>
  <c r="J48" i="14"/>
  <c r="J51" i="14"/>
  <c r="J68" i="14"/>
  <c r="J101" i="14"/>
  <c r="J67" i="14"/>
  <c r="J29" i="14"/>
  <c r="J41" i="14"/>
  <c r="T44" i="14"/>
  <c r="J84" i="14"/>
  <c r="J86" i="14"/>
  <c r="J21" i="14"/>
  <c r="T37" i="14"/>
  <c r="W18" i="7"/>
  <c r="W25" i="7"/>
  <c r="X12" i="7"/>
  <c r="X25" i="7"/>
  <c r="X18" i="7"/>
  <c r="AO16" i="1"/>
  <c r="AE14" i="4"/>
  <c r="W22" i="7"/>
  <c r="AE85" i="14"/>
  <c r="AD14" i="4"/>
  <c r="AD13" i="4"/>
  <c r="AE44" i="14"/>
  <c r="W12" i="7"/>
  <c r="AE95" i="14"/>
  <c r="AN16" i="1"/>
  <c r="AE13" i="4"/>
  <c r="W19" i="7"/>
  <c r="AE41" i="14"/>
  <c r="X22" i="7"/>
  <c r="X19" i="7"/>
  <c r="AE46" i="14"/>
  <c r="J102" i="16"/>
  <c r="I88" i="16"/>
  <c r="I97" i="16"/>
  <c r="K33" i="16"/>
  <c r="K15" i="16"/>
  <c r="I27" i="16"/>
  <c r="K72" i="16"/>
  <c r="L105" i="16"/>
  <c r="AI110" i="14"/>
  <c r="K18" i="16"/>
  <c r="I44" i="16"/>
  <c r="L45" i="16"/>
  <c r="J101" i="16"/>
  <c r="J89" i="16"/>
  <c r="J69" i="16"/>
  <c r="I37" i="16"/>
  <c r="I67" i="16"/>
  <c r="I103" i="16"/>
  <c r="L91" i="16"/>
  <c r="J59" i="16"/>
  <c r="K59" i="16"/>
  <c r="AE101" i="14"/>
  <c r="K53" i="16"/>
  <c r="L96" i="16"/>
  <c r="L21" i="16"/>
  <c r="J27" i="16"/>
  <c r="L107" i="16"/>
  <c r="L46" i="16"/>
  <c r="J92" i="16"/>
  <c r="J62" i="16"/>
  <c r="K9" i="16"/>
  <c r="K108" i="16"/>
  <c r="AI80" i="14"/>
  <c r="AI33" i="14"/>
  <c r="AE17" i="14"/>
  <c r="J94" i="16"/>
  <c r="I84" i="16"/>
  <c r="L60" i="16"/>
  <c r="K34" i="16"/>
  <c r="J76" i="16"/>
  <c r="L36" i="16"/>
  <c r="J75" i="16"/>
  <c r="J79" i="16"/>
  <c r="L79" i="16"/>
  <c r="K100" i="16"/>
  <c r="I79" i="16"/>
  <c r="L40" i="16"/>
  <c r="L20" i="16"/>
  <c r="I65" i="16"/>
  <c r="AO11" i="1"/>
  <c r="K90" i="16"/>
  <c r="L56" i="16"/>
  <c r="K101" i="16"/>
  <c r="L28" i="16"/>
  <c r="K28" i="16"/>
  <c r="J88" i="16"/>
  <c r="I96" i="16"/>
  <c r="I48" i="16"/>
  <c r="J99" i="16"/>
  <c r="K97" i="16"/>
  <c r="J35" i="16"/>
  <c r="K50" i="16"/>
  <c r="J46" i="16"/>
  <c r="K93" i="16"/>
  <c r="K107" i="16"/>
  <c r="J48" i="16"/>
  <c r="K42" i="16"/>
  <c r="K51" i="16"/>
  <c r="J28" i="16"/>
  <c r="J54" i="16"/>
  <c r="L26" i="16"/>
  <c r="L54" i="16"/>
  <c r="L19" i="16"/>
  <c r="J93" i="16"/>
  <c r="I46" i="16"/>
  <c r="L10" i="16"/>
  <c r="K49" i="16"/>
  <c r="K62" i="16"/>
  <c r="AI54" i="14"/>
  <c r="AI21" i="14"/>
  <c r="AI72" i="14"/>
  <c r="J20" i="16"/>
  <c r="I86" i="16"/>
  <c r="L65" i="16"/>
  <c r="I39" i="16"/>
  <c r="I12" i="16"/>
  <c r="L43" i="16"/>
  <c r="J39" i="16"/>
  <c r="J80" i="16"/>
  <c r="L80" i="16"/>
  <c r="K11" i="16"/>
  <c r="I80" i="16"/>
  <c r="L82" i="16"/>
  <c r="L61" i="16"/>
  <c r="I73" i="16"/>
  <c r="AO19" i="1"/>
  <c r="I91" i="16"/>
  <c r="I45" i="16"/>
  <c r="L97" i="16"/>
  <c r="K29" i="16"/>
  <c r="I56" i="16"/>
  <c r="I50" i="16"/>
  <c r="L15" i="16"/>
  <c r="J45" i="16"/>
  <c r="J103" i="16"/>
  <c r="K37" i="16"/>
  <c r="I89" i="16"/>
  <c r="I38" i="16"/>
  <c r="L18" i="16"/>
  <c r="I18" i="16"/>
  <c r="L89" i="16"/>
  <c r="K91" i="16"/>
  <c r="AI109" i="14"/>
  <c r="AI86" i="14"/>
  <c r="L27" i="16"/>
  <c r="I98" i="16"/>
  <c r="I51" i="16"/>
  <c r="L50" i="16"/>
  <c r="I66" i="16"/>
  <c r="L98" i="16"/>
  <c r="J50" i="16"/>
  <c r="K27" i="16"/>
  <c r="K70" i="16"/>
  <c r="K35" i="16"/>
  <c r="J55" i="16"/>
  <c r="L83" i="16"/>
  <c r="L55" i="16"/>
  <c r="L77" i="16"/>
  <c r="J9" i="16"/>
  <c r="I54" i="16"/>
  <c r="L71" i="16"/>
  <c r="K46" i="16"/>
  <c r="I26" i="16"/>
  <c r="AI64" i="14"/>
  <c r="AE69" i="14"/>
  <c r="AE63" i="14"/>
  <c r="J61" i="16"/>
  <c r="I87" i="16"/>
  <c r="L73" i="16"/>
  <c r="I40" i="16"/>
  <c r="I13" i="16"/>
  <c r="J100" i="16"/>
  <c r="J40" i="16"/>
  <c r="I36" i="16"/>
  <c r="L12" i="16"/>
  <c r="K60" i="16"/>
  <c r="I76" i="16"/>
  <c r="L76" i="16"/>
  <c r="L63" i="16"/>
  <c r="I74" i="16"/>
  <c r="AN11" i="1"/>
  <c r="J67" i="16"/>
  <c r="K98" i="16"/>
  <c r="L44" i="16"/>
  <c r="AI58" i="14"/>
  <c r="AE36" i="14"/>
  <c r="J11" i="14"/>
  <c r="J63" i="16"/>
  <c r="K78" i="16"/>
  <c r="L74" i="16"/>
  <c r="I82" i="16"/>
  <c r="I94" i="16"/>
  <c r="J11" i="16"/>
  <c r="J82" i="16"/>
  <c r="I43" i="16"/>
  <c r="L13" i="16"/>
  <c r="K65" i="16"/>
  <c r="I34" i="16"/>
  <c r="L22" i="16"/>
  <c r="K22" i="16"/>
  <c r="I75" i="16"/>
  <c r="AN19" i="1"/>
  <c r="K56" i="16"/>
  <c r="J91" i="16"/>
  <c r="L88" i="16"/>
  <c r="K45" i="16"/>
  <c r="J56" i="16"/>
  <c r="J51" i="16"/>
  <c r="L49" i="16"/>
  <c r="I55" i="16"/>
  <c r="K83" i="16"/>
  <c r="L101" i="16"/>
  <c r="K68" i="16"/>
  <c r="L58" i="16"/>
  <c r="I33" i="16"/>
  <c r="K88" i="16"/>
  <c r="J29" i="16"/>
  <c r="L33" i="16"/>
  <c r="I24" i="16"/>
  <c r="J15" i="16"/>
  <c r="K102" i="16"/>
  <c r="K44" i="16"/>
  <c r="K38" i="16"/>
  <c r="J106" i="16"/>
  <c r="L70" i="16"/>
  <c r="L106" i="16"/>
  <c r="K99" i="16"/>
  <c r="K19" i="16"/>
  <c r="I10" i="16"/>
  <c r="K71" i="16"/>
  <c r="I49" i="16"/>
  <c r="J107" i="16"/>
  <c r="K55" i="16"/>
  <c r="AI87" i="14"/>
  <c r="AI20" i="14"/>
  <c r="K36" i="16"/>
  <c r="L75" i="16"/>
  <c r="K12" i="16"/>
  <c r="L94" i="16"/>
  <c r="K23" i="16"/>
  <c r="AO11" i="5"/>
  <c r="AN11" i="5"/>
  <c r="K54" i="16"/>
  <c r="AI108" i="14"/>
  <c r="L31" i="16"/>
  <c r="J52" i="16"/>
  <c r="I72" i="16"/>
  <c r="I28" i="16"/>
  <c r="J70" i="16"/>
  <c r="I31" i="16"/>
  <c r="L81" i="16"/>
  <c r="J77" i="16"/>
  <c r="J26" i="16"/>
  <c r="AI68" i="14"/>
  <c r="J34" i="16"/>
  <c r="K79" i="16"/>
  <c r="J22" i="16"/>
  <c r="J60" i="16"/>
  <c r="L84" i="16"/>
  <c r="K20" i="16"/>
  <c r="K73" i="16"/>
  <c r="K84" i="16"/>
  <c r="L23" i="16"/>
  <c r="K26" i="16"/>
  <c r="K10" i="16"/>
  <c r="L64" i="16"/>
  <c r="J24" i="16"/>
  <c r="L52" i="16"/>
  <c r="J84" i="16"/>
  <c r="J105" i="16"/>
  <c r="L29" i="16"/>
  <c r="L38" i="16"/>
  <c r="I99" i="16"/>
  <c r="I70" i="16"/>
  <c r="L59" i="16"/>
  <c r="K89" i="16"/>
  <c r="J44" i="16"/>
  <c r="K103" i="16"/>
  <c r="J53" i="16"/>
  <c r="J21" i="16"/>
  <c r="J96" i="16"/>
  <c r="L42" i="16"/>
  <c r="L92" i="16"/>
  <c r="J10" i="16"/>
  <c r="K77" i="16"/>
  <c r="J83" i="16"/>
  <c r="AI84" i="14"/>
  <c r="AI40" i="14"/>
  <c r="AE106" i="14"/>
  <c r="K43" i="16"/>
  <c r="K39" i="16"/>
  <c r="K80" i="16"/>
  <c r="I20" i="16"/>
  <c r="J23" i="16"/>
  <c r="K13" i="16"/>
  <c r="J65" i="16"/>
  <c r="L86" i="16"/>
  <c r="K61" i="16"/>
  <c r="K76" i="16"/>
  <c r="K74" i="16"/>
  <c r="K86" i="16"/>
  <c r="I100" i="16"/>
  <c r="J31" i="16"/>
  <c r="J19" i="16"/>
  <c r="J104" i="16"/>
  <c r="K69" i="16"/>
  <c r="I64" i="16"/>
  <c r="J33" i="16"/>
  <c r="I25" i="16"/>
  <c r="K24" i="16"/>
  <c r="I42" i="16"/>
  <c r="L72" i="16"/>
  <c r="J72" i="16"/>
  <c r="I52" i="16"/>
  <c r="L9" i="16"/>
  <c r="I71" i="16"/>
  <c r="I104" i="16"/>
  <c r="I19" i="16"/>
  <c r="AE37" i="14"/>
  <c r="J38" i="16"/>
  <c r="J64" i="16"/>
  <c r="K105" i="16"/>
  <c r="J25" i="16"/>
  <c r="K25" i="16"/>
  <c r="K31" i="16"/>
  <c r="L53" i="16"/>
  <c r="J90" i="16"/>
  <c r="L66" i="16"/>
  <c r="J97" i="16"/>
  <c r="I106" i="16"/>
  <c r="L93" i="16"/>
  <c r="J71" i="16"/>
  <c r="I108" i="16"/>
  <c r="I107" i="16"/>
  <c r="I77" i="16"/>
  <c r="AI79" i="14"/>
  <c r="AI11" i="14"/>
  <c r="J12" i="16"/>
  <c r="K40" i="16"/>
  <c r="L100" i="16"/>
  <c r="I61" i="16"/>
  <c r="J36" i="16"/>
  <c r="K94" i="16"/>
  <c r="J73" i="16"/>
  <c r="L87" i="16"/>
  <c r="K63" i="16"/>
  <c r="I22" i="16"/>
  <c r="K75" i="16"/>
  <c r="K87" i="16"/>
  <c r="J86" i="16"/>
  <c r="I11" i="16"/>
  <c r="AO20" i="1"/>
  <c r="AN20" i="1"/>
  <c r="J37" i="16"/>
  <c r="I105" i="16"/>
  <c r="L48" i="16"/>
  <c r="L24" i="16"/>
  <c r="K64" i="16"/>
  <c r="AI93" i="14"/>
  <c r="L102" i="16"/>
  <c r="AE94" i="14"/>
  <c r="K66" i="16"/>
  <c r="I81" i="16"/>
  <c r="AE81" i="14"/>
  <c r="L103" i="16"/>
  <c r="L67" i="16"/>
  <c r="I68" i="16"/>
  <c r="L68" i="16"/>
  <c r="I58" i="16"/>
  <c r="I101" i="16"/>
  <c r="AI90" i="14"/>
  <c r="J66" i="16"/>
  <c r="K106" i="16"/>
  <c r="K21" i="16"/>
  <c r="I53" i="16"/>
  <c r="K81" i="16"/>
  <c r="I83" i="16"/>
  <c r="L108" i="16"/>
  <c r="I92" i="16"/>
  <c r="AE28" i="14"/>
  <c r="K67" i="16"/>
  <c r="L25" i="16"/>
  <c r="L51" i="16"/>
  <c r="L35" i="16"/>
  <c r="I9" i="16"/>
  <c r="L37" i="16"/>
  <c r="I69" i="16"/>
  <c r="J68" i="16"/>
  <c r="L69" i="16"/>
  <c r="I102" i="16"/>
  <c r="J18" i="16"/>
  <c r="AI92" i="14"/>
  <c r="K52" i="16"/>
  <c r="L90" i="16"/>
  <c r="I35" i="16"/>
  <c r="L99" i="16"/>
  <c r="I21" i="16"/>
  <c r="AI23" i="14"/>
  <c r="K82" i="16"/>
  <c r="I63" i="16"/>
  <c r="J43" i="16"/>
  <c r="J74" i="16"/>
  <c r="J78" i="16"/>
  <c r="I23" i="16"/>
  <c r="I78" i="16"/>
  <c r="L39" i="16"/>
  <c r="J87" i="16"/>
  <c r="I60" i="16"/>
  <c r="AO23" i="1"/>
  <c r="AN23" i="1"/>
  <c r="AI88" i="14"/>
  <c r="I29" i="16"/>
  <c r="AI89" i="14"/>
  <c r="AE15" i="14"/>
  <c r="I15" i="16"/>
  <c r="I59" i="16"/>
  <c r="J58" i="16"/>
  <c r="K58" i="16"/>
  <c r="K96" i="16"/>
  <c r="J98" i="16"/>
  <c r="J42" i="16"/>
  <c r="K48" i="16"/>
  <c r="I90" i="16"/>
  <c r="J49" i="16"/>
  <c r="L104" i="16"/>
  <c r="I62" i="16"/>
  <c r="K92" i="16"/>
  <c r="J81" i="16"/>
  <c r="J108" i="16"/>
  <c r="L62" i="16"/>
  <c r="K104" i="16"/>
  <c r="I93" i="16"/>
  <c r="AI78" i="14"/>
  <c r="AI12" i="14"/>
  <c r="J13" i="16"/>
  <c r="L11" i="16"/>
  <c r="L34" i="16"/>
  <c r="L78" i="16"/>
  <c r="AM59" i="14"/>
  <c r="AL34" i="14"/>
  <c r="D49" i="14"/>
  <c r="F102" i="14"/>
  <c r="AI50" i="14"/>
  <c r="AN22" i="14"/>
  <c r="G102" i="14"/>
  <c r="C60" i="16"/>
  <c r="C20" i="16"/>
  <c r="D62" i="14"/>
  <c r="F97" i="14"/>
  <c r="G22" i="16"/>
  <c r="F20" i="16"/>
  <c r="AB59" i="14"/>
  <c r="D12" i="16"/>
  <c r="G59" i="14"/>
  <c r="K97" i="14"/>
  <c r="K102" i="14"/>
  <c r="AN49" i="14"/>
  <c r="AK24" i="14"/>
  <c r="E22" i="14"/>
  <c r="AB102" i="14"/>
  <c r="AF102" i="14"/>
  <c r="AO49" i="14"/>
  <c r="AP59" i="14"/>
  <c r="AL14" i="14"/>
  <c r="AM34" i="14"/>
  <c r="AM49" i="14"/>
  <c r="U13" i="7"/>
  <c r="AU24" i="14"/>
  <c r="AQ62" i="14"/>
  <c r="I24" i="14"/>
  <c r="F17" i="16"/>
  <c r="AT59" i="14"/>
  <c r="AT97" i="14"/>
  <c r="AR102" i="14"/>
  <c r="D34" i="14"/>
  <c r="F95" i="16"/>
  <c r="AT102" i="14"/>
  <c r="C102" i="14"/>
  <c r="AS62" i="14"/>
  <c r="S16" i="7"/>
  <c r="K19" i="14"/>
  <c r="AL49" i="14"/>
  <c r="F62" i="14"/>
  <c r="G49" i="14"/>
  <c r="X19" i="6"/>
  <c r="F14" i="14"/>
  <c r="G60" i="16"/>
  <c r="AR62" i="14"/>
  <c r="AS102" i="14"/>
  <c r="E34" i="14"/>
  <c r="G62" i="14"/>
  <c r="F22" i="16"/>
  <c r="X20" i="6"/>
  <c r="V18" i="7"/>
  <c r="C59" i="14"/>
  <c r="G20" i="16"/>
  <c r="U15" i="7"/>
  <c r="AR19" i="14"/>
  <c r="AM24" i="14"/>
  <c r="AM97" i="14"/>
  <c r="C47" i="16"/>
  <c r="AF49" i="14"/>
  <c r="AN19" i="14"/>
  <c r="AB19" i="14"/>
  <c r="AD49" i="14"/>
  <c r="E14" i="14"/>
  <c r="AO19" i="14"/>
  <c r="AF22" i="14"/>
  <c r="C22" i="16"/>
  <c r="AF62" i="14"/>
  <c r="AM19" i="14"/>
  <c r="AR22" i="14"/>
  <c r="AU19" i="14"/>
  <c r="AQ97" i="14"/>
  <c r="C19" i="14"/>
  <c r="AU49" i="14"/>
  <c r="E102" i="14"/>
  <c r="AN59" i="14"/>
  <c r="AN102" i="14"/>
  <c r="C97" i="14"/>
  <c r="S24" i="7"/>
  <c r="F60" i="16"/>
  <c r="AS24" i="14"/>
  <c r="AQ102" i="14"/>
  <c r="AK59" i="14"/>
  <c r="D102" i="14"/>
  <c r="AT62" i="14"/>
  <c r="AD34" i="14"/>
  <c r="AI66" i="14"/>
  <c r="AK62" i="14"/>
  <c r="AL102" i="14"/>
  <c r="AD62" i="14"/>
  <c r="AO22" i="14"/>
  <c r="H32" i="16"/>
  <c r="D59" i="14"/>
  <c r="I49" i="14"/>
  <c r="N18" i="7"/>
  <c r="E97" i="14"/>
  <c r="AN14" i="14"/>
  <c r="G17" i="16"/>
  <c r="AO62" i="14"/>
  <c r="AB62" i="14"/>
  <c r="F57" i="16"/>
  <c r="H47" i="16"/>
  <c r="AL59" i="14"/>
  <c r="K49" i="14"/>
  <c r="D97" i="14"/>
  <c r="AR59" i="14"/>
  <c r="AD59" i="14"/>
  <c r="G22" i="14"/>
  <c r="H22" i="16"/>
  <c r="AQ22" i="14"/>
  <c r="AR24" i="14"/>
  <c r="G95" i="16"/>
  <c r="H17" i="16"/>
  <c r="E24" i="14"/>
  <c r="AF24" i="14"/>
  <c r="AK19" i="14"/>
  <c r="I102" i="14"/>
  <c r="H59" i="14"/>
  <c r="X22" i="6"/>
  <c r="Y14" i="6"/>
  <c r="S14" i="7"/>
  <c r="T13" i="7"/>
  <c r="S22" i="7"/>
  <c r="V16" i="7"/>
  <c r="V15" i="7"/>
  <c r="T21" i="7"/>
  <c r="AI53" i="14"/>
  <c r="AI69" i="14"/>
  <c r="AI28" i="14"/>
  <c r="D47" i="16"/>
  <c r="C17" i="16"/>
  <c r="AL19" i="14"/>
  <c r="G100" i="16"/>
  <c r="AO14" i="14"/>
  <c r="F24" i="14"/>
  <c r="AT14" i="14"/>
  <c r="K34" i="14"/>
  <c r="F19" i="14"/>
  <c r="K22" i="14"/>
  <c r="AT34" i="14"/>
  <c r="AP24" i="14"/>
  <c r="AM14" i="14"/>
  <c r="AU102" i="14"/>
  <c r="F49" i="14"/>
  <c r="AT19" i="14"/>
  <c r="AL62" i="14"/>
  <c r="AB22" i="14"/>
  <c r="AB34" i="14"/>
  <c r="I59" i="14"/>
  <c r="D60" i="16"/>
  <c r="H102" i="14"/>
  <c r="AS14" i="14"/>
  <c r="H97" i="14"/>
  <c r="C32" i="16"/>
  <c r="AP22" i="14"/>
  <c r="H22" i="14"/>
  <c r="E49" i="14"/>
  <c r="H95" i="16"/>
  <c r="I62" i="14"/>
  <c r="K62" i="14"/>
  <c r="X16" i="6"/>
  <c r="X15" i="6"/>
  <c r="U14" i="7"/>
  <c r="V21" i="7"/>
  <c r="S13" i="7"/>
  <c r="T18" i="7"/>
  <c r="N17" i="7"/>
  <c r="V14" i="7"/>
  <c r="AI67" i="14"/>
  <c r="AI36" i="14"/>
  <c r="AI15" i="14"/>
  <c r="G24" i="14"/>
  <c r="AR34" i="14"/>
  <c r="D22" i="14"/>
  <c r="G14" i="14"/>
  <c r="AF97" i="14"/>
  <c r="H49" i="14"/>
  <c r="D19" i="14"/>
  <c r="AD19" i="14"/>
  <c r="H100" i="16"/>
  <c r="AB49" i="14"/>
  <c r="I14" i="14"/>
  <c r="AO34" i="14"/>
  <c r="H60" i="16"/>
  <c r="AU62" i="14"/>
  <c r="C34" i="14"/>
  <c r="AU59" i="14"/>
  <c r="AP14" i="14"/>
  <c r="AL22" i="14"/>
  <c r="AP49" i="14"/>
  <c r="AS22" i="14"/>
  <c r="AD14" i="14"/>
  <c r="I97" i="14"/>
  <c r="AS34" i="14"/>
  <c r="AD24" i="14"/>
  <c r="AM62" i="14"/>
  <c r="E62" i="14"/>
  <c r="D100" i="16"/>
  <c r="I34" i="14"/>
  <c r="D17" i="16"/>
  <c r="H20" i="16"/>
  <c r="Y21" i="6"/>
  <c r="Y20" i="6"/>
  <c r="T17" i="7"/>
  <c r="T14" i="7"/>
  <c r="U18" i="7"/>
  <c r="N22" i="7"/>
  <c r="U22" i="7"/>
  <c r="AI94" i="14"/>
  <c r="AI75" i="14"/>
  <c r="AT24" i="14"/>
  <c r="E19" i="14"/>
  <c r="F22" i="14"/>
  <c r="Y19" i="6"/>
  <c r="Y15" i="6"/>
  <c r="N21" i="7"/>
  <c r="T15" i="7"/>
  <c r="V22" i="7"/>
  <c r="V17" i="7"/>
  <c r="T16" i="7"/>
  <c r="AI55" i="14"/>
  <c r="AI85" i="14"/>
  <c r="AI74" i="14"/>
  <c r="AI61" i="14"/>
  <c r="C62" i="14"/>
  <c r="C100" i="16"/>
  <c r="D32" i="16"/>
  <c r="G34" i="14"/>
  <c r="AT22" i="14"/>
  <c r="AP19" i="14"/>
  <c r="AB24" i="14"/>
  <c r="D20" i="16"/>
  <c r="C57" i="16"/>
  <c r="AD102" i="14"/>
  <c r="AU34" i="14"/>
  <c r="Y22" i="6"/>
  <c r="N13" i="7"/>
  <c r="U17" i="7"/>
  <c r="N14" i="7"/>
  <c r="N15" i="7"/>
  <c r="AI48" i="14"/>
  <c r="AI81" i="14"/>
  <c r="AI57" i="14"/>
  <c r="AQ49" i="14"/>
  <c r="Y23" i="6"/>
  <c r="S17" i="7"/>
  <c r="AI106" i="14"/>
  <c r="H12" i="16"/>
  <c r="AS19" i="14"/>
  <c r="K59" i="14"/>
  <c r="AK22" i="14"/>
  <c r="D57" i="16"/>
  <c r="AM22" i="14"/>
  <c r="I19" i="14"/>
  <c r="F34" i="14"/>
  <c r="C22" i="14"/>
  <c r="AF59" i="14"/>
  <c r="AL24" i="14"/>
  <c r="AQ24" i="14"/>
  <c r="F100" i="16"/>
  <c r="C24" i="14"/>
  <c r="AN97" i="14"/>
  <c r="AB97" i="14"/>
  <c r="AF34" i="14"/>
  <c r="C12" i="16"/>
  <c r="G47" i="16"/>
  <c r="AO97" i="14"/>
  <c r="AU97" i="14"/>
  <c r="AS59" i="14"/>
  <c r="AQ59" i="14"/>
  <c r="AB14" i="14"/>
  <c r="AP102" i="14"/>
  <c r="H14" i="14"/>
  <c r="AS49" i="14"/>
  <c r="AQ14" i="14"/>
  <c r="H24" i="14"/>
  <c r="H62" i="14"/>
  <c r="C49" i="14"/>
  <c r="AK97" i="14"/>
  <c r="D14" i="14"/>
  <c r="H34" i="14"/>
  <c r="D95" i="16"/>
  <c r="G97" i="14"/>
  <c r="C14" i="14"/>
  <c r="X21" i="6"/>
  <c r="X14" i="6"/>
  <c r="V13" i="7"/>
  <c r="S18" i="7"/>
  <c r="S15" i="7"/>
  <c r="N16" i="7"/>
  <c r="N24" i="7"/>
  <c r="T22" i="7"/>
  <c r="AI91" i="14"/>
  <c r="AI51" i="14"/>
  <c r="AI101" i="14"/>
  <c r="AI37" i="14"/>
  <c r="AI26" i="14"/>
  <c r="E59" i="14"/>
  <c r="AK102" i="14"/>
  <c r="H57" i="16"/>
  <c r="AM102" i="14"/>
  <c r="AF14" i="14"/>
  <c r="AN34" i="14"/>
  <c r="AL97" i="14"/>
  <c r="F47" i="16"/>
  <c r="AR14" i="14"/>
  <c r="K14" i="14"/>
  <c r="AQ19" i="14"/>
  <c r="AT49" i="14"/>
  <c r="AS97" i="14"/>
  <c r="AO24" i="14"/>
  <c r="AR49" i="14"/>
  <c r="D24" i="14"/>
  <c r="AP97" i="14"/>
  <c r="AU22" i="14"/>
  <c r="F32" i="16"/>
  <c r="I22" i="14"/>
  <c r="AD22" i="14"/>
  <c r="H19" i="14"/>
  <c r="AQ34" i="14"/>
  <c r="C95" i="16"/>
  <c r="AU14" i="14"/>
  <c r="G57" i="16"/>
  <c r="G19" i="14"/>
  <c r="AP34" i="14"/>
  <c r="AN62" i="14"/>
  <c r="AO59" i="14"/>
  <c r="AK34" i="14"/>
  <c r="K24" i="14"/>
  <c r="AK49" i="14"/>
  <c r="AP62" i="14"/>
  <c r="D22" i="16"/>
  <c r="AN24" i="14"/>
  <c r="F59" i="14"/>
  <c r="G32" i="16"/>
  <c r="AR97" i="14"/>
  <c r="G12" i="16"/>
  <c r="AK14" i="14"/>
  <c r="AO102" i="14"/>
  <c r="AF19" i="14"/>
  <c r="AD97" i="14"/>
  <c r="F12" i="16"/>
  <c r="Y16" i="6"/>
  <c r="X23" i="6"/>
  <c r="U24" i="7"/>
  <c r="V24" i="7"/>
  <c r="U21" i="7"/>
  <c r="S21" i="7"/>
  <c r="U16" i="7"/>
  <c r="T24" i="7"/>
  <c r="AI77" i="14"/>
  <c r="AI27" i="14"/>
  <c r="AI52" i="14"/>
  <c r="AI63" i="14"/>
  <c r="AI17" i="14"/>
  <c r="F32" i="14"/>
  <c r="F94" i="16"/>
  <c r="T12" i="7"/>
  <c r="AB14" i="4"/>
  <c r="G103" i="14"/>
  <c r="AO57" i="14"/>
  <c r="D96" i="14"/>
  <c r="AB57" i="14"/>
  <c r="AP60" i="14"/>
  <c r="S13" i="4"/>
  <c r="D56" i="14"/>
  <c r="C73" i="16"/>
  <c r="F65" i="14"/>
  <c r="F70" i="14"/>
  <c r="AO65" i="14"/>
  <c r="U11" i="7"/>
  <c r="S12" i="4"/>
  <c r="G26" i="14"/>
  <c r="H57" i="14"/>
  <c r="N19" i="7"/>
  <c r="I75" i="14"/>
  <c r="T19" i="7"/>
  <c r="D57" i="14"/>
  <c r="AN70" i="14"/>
  <c r="AU32" i="14"/>
  <c r="AT60" i="14"/>
  <c r="G65" i="14"/>
  <c r="AT96" i="14"/>
  <c r="AM32" i="14"/>
  <c r="AK32" i="14"/>
  <c r="AR61" i="14"/>
  <c r="AM60" i="14"/>
  <c r="AN76" i="14"/>
  <c r="S11" i="5"/>
  <c r="C80" i="16"/>
  <c r="G61" i="14"/>
  <c r="AK60" i="14"/>
  <c r="H65" i="14"/>
  <c r="F59" i="16"/>
  <c r="AD76" i="14"/>
  <c r="AF96" i="14"/>
  <c r="G32" i="14"/>
  <c r="AN65" i="14"/>
  <c r="H70" i="14"/>
  <c r="D75" i="14"/>
  <c r="AP75" i="14"/>
  <c r="AN61" i="14"/>
  <c r="H96" i="14"/>
  <c r="AQ32" i="14"/>
  <c r="AD96" i="14"/>
  <c r="AP76" i="14"/>
  <c r="N25" i="7"/>
  <c r="E13" i="14"/>
  <c r="H14" i="16"/>
  <c r="AD57" i="14"/>
  <c r="I70" i="14"/>
  <c r="AP61" i="14"/>
  <c r="AM57" i="14"/>
  <c r="AR57" i="14"/>
  <c r="F68" i="16"/>
  <c r="AB96" i="14"/>
  <c r="AR96" i="14"/>
  <c r="AF65" i="14"/>
  <c r="E61" i="14"/>
  <c r="I76" i="14"/>
  <c r="D30" i="16"/>
  <c r="C57" i="14"/>
  <c r="AP57" i="14"/>
  <c r="T25" i="7"/>
  <c r="AR13" i="14"/>
  <c r="K56" i="14"/>
  <c r="G59" i="16"/>
  <c r="Z14" i="4"/>
  <c r="D81" i="16"/>
  <c r="E26" i="14"/>
  <c r="H42" i="14"/>
  <c r="AR70" i="14"/>
  <c r="AK57" i="14"/>
  <c r="AP42" i="14"/>
  <c r="K96" i="14"/>
  <c r="AB42" i="14"/>
  <c r="I96" i="14"/>
  <c r="C70" i="14"/>
  <c r="E32" i="14"/>
  <c r="E70" i="14"/>
  <c r="AF76" i="14"/>
  <c r="U25" i="7"/>
  <c r="G13" i="14"/>
  <c r="G81" i="16"/>
  <c r="G74" i="16"/>
  <c r="I57" i="14"/>
  <c r="AS75" i="14"/>
  <c r="AQ76" i="14"/>
  <c r="AT57" i="14"/>
  <c r="C103" i="14"/>
  <c r="AF83" i="14"/>
  <c r="AK96" i="14"/>
  <c r="F55" i="16"/>
  <c r="G75" i="14"/>
  <c r="AL96" i="14"/>
  <c r="K76" i="14"/>
  <c r="AM96" i="14"/>
  <c r="AR42" i="14"/>
  <c r="AN42" i="14"/>
  <c r="AL60" i="14"/>
  <c r="H58" i="16"/>
  <c r="AQ42" i="14"/>
  <c r="F57" i="14"/>
  <c r="U12" i="7"/>
  <c r="AL13" i="14"/>
  <c r="AR82" i="14"/>
  <c r="T20" i="7"/>
  <c r="R14" i="4"/>
  <c r="G82" i="14"/>
  <c r="I65" i="14"/>
  <c r="K32" i="14"/>
  <c r="D63" i="16"/>
  <c r="AS60" i="14"/>
  <c r="E96" i="14"/>
  <c r="N12" i="7"/>
  <c r="AC14" i="4"/>
  <c r="D13" i="14"/>
  <c r="AR18" i="14"/>
  <c r="AO42" i="14"/>
  <c r="D55" i="16"/>
  <c r="AB15" i="4"/>
  <c r="AM18" i="14"/>
  <c r="F16" i="16"/>
  <c r="F42" i="14"/>
  <c r="AB61" i="14"/>
  <c r="AL76" i="14"/>
  <c r="AO61" i="14"/>
  <c r="D58" i="16"/>
  <c r="S19" i="7"/>
  <c r="AT61" i="14"/>
  <c r="E42" i="14"/>
  <c r="AQ70" i="14"/>
  <c r="AS57" i="14"/>
  <c r="G68" i="16"/>
  <c r="C68" i="16"/>
  <c r="AS76" i="14"/>
  <c r="F58" i="16"/>
  <c r="S12" i="7"/>
  <c r="AP13" i="14"/>
  <c r="AM75" i="14"/>
  <c r="AL32" i="14"/>
  <c r="G63" i="16"/>
  <c r="AL42" i="14"/>
  <c r="C96" i="14"/>
  <c r="AS32" i="14"/>
  <c r="E60" i="14"/>
  <c r="V19" i="7"/>
  <c r="AF32" i="14"/>
  <c r="AU60" i="14"/>
  <c r="C94" i="16"/>
  <c r="G60" i="14"/>
  <c r="AF42" i="14"/>
  <c r="C63" i="16"/>
  <c r="AB12" i="4"/>
  <c r="F75" i="14"/>
  <c r="AR60" i="14"/>
  <c r="E75" i="14"/>
  <c r="AP96" i="14"/>
  <c r="AM65" i="14"/>
  <c r="AB60" i="14"/>
  <c r="AO70" i="14"/>
  <c r="AS61" i="14"/>
  <c r="K57" i="14"/>
  <c r="C30" i="16"/>
  <c r="F60" i="14"/>
  <c r="AK75" i="14"/>
  <c r="D40" i="16"/>
  <c r="AQ96" i="14"/>
  <c r="AU61" i="14"/>
  <c r="AT42" i="14"/>
  <c r="C76" i="14"/>
  <c r="H94" i="16"/>
  <c r="C55" i="16"/>
  <c r="K60" i="14"/>
  <c r="AS70" i="14"/>
  <c r="AP32" i="14"/>
  <c r="AQ57" i="14"/>
  <c r="H30" i="16"/>
  <c r="AO75" i="14"/>
  <c r="G58" i="16"/>
  <c r="D70" i="14"/>
  <c r="D74" i="16"/>
  <c r="U20" i="7"/>
  <c r="AA15" i="4"/>
  <c r="H74" i="16"/>
  <c r="AU65" i="14"/>
  <c r="AF61" i="14"/>
  <c r="AT76" i="14"/>
  <c r="C74" i="16"/>
  <c r="D42" i="14"/>
  <c r="N11" i="7"/>
  <c r="S20" i="7"/>
  <c r="AC13" i="4"/>
  <c r="Z15" i="4"/>
  <c r="AC12" i="4"/>
  <c r="E73" i="14"/>
  <c r="AQ43" i="14"/>
  <c r="F80" i="16"/>
  <c r="AD18" i="14"/>
  <c r="AF16" i="14"/>
  <c r="E82" i="14"/>
  <c r="AO43" i="14"/>
  <c r="AD43" i="14"/>
  <c r="AQ73" i="14"/>
  <c r="AM82" i="14"/>
  <c r="AN16" i="14"/>
  <c r="AR56" i="14"/>
  <c r="H18" i="14"/>
  <c r="AK103" i="14"/>
  <c r="C73" i="14"/>
  <c r="AO73" i="14"/>
  <c r="AO82" i="14"/>
  <c r="E18" i="14"/>
  <c r="AN43" i="14"/>
  <c r="AI104" i="14"/>
  <c r="W13" i="7"/>
  <c r="AN17" i="1"/>
  <c r="AC11" i="5"/>
  <c r="H68" i="16"/>
  <c r="AO96" i="14"/>
  <c r="G57" i="14"/>
  <c r="AT70" i="14"/>
  <c r="AK65" i="14"/>
  <c r="AL57" i="14"/>
  <c r="AM70" i="14"/>
  <c r="AP65" i="14"/>
  <c r="AM42" i="14"/>
  <c r="AR76" i="14"/>
  <c r="C32" i="14"/>
  <c r="F63" i="16"/>
  <c r="AD75" i="14"/>
  <c r="H32" i="14"/>
  <c r="AS42" i="14"/>
  <c r="AQ61" i="14"/>
  <c r="AR65" i="14"/>
  <c r="K61" i="14"/>
  <c r="Z12" i="4"/>
  <c r="AO16" i="14"/>
  <c r="K103" i="14"/>
  <c r="H16" i="14"/>
  <c r="H41" i="16"/>
  <c r="AM56" i="14"/>
  <c r="AN83" i="14"/>
  <c r="C81" i="16"/>
  <c r="G73" i="14"/>
  <c r="F41" i="16"/>
  <c r="AN73" i="14"/>
  <c r="H43" i="14"/>
  <c r="AD26" i="14"/>
  <c r="AL82" i="14"/>
  <c r="AD83" i="14"/>
  <c r="AB26" i="14"/>
  <c r="AL18" i="14"/>
  <c r="AS18" i="14"/>
  <c r="U23" i="7"/>
  <c r="AB11" i="1"/>
  <c r="AI100" i="14"/>
  <c r="D68" i="16"/>
  <c r="AB70" i="14"/>
  <c r="D76" i="14"/>
  <c r="C61" i="14"/>
  <c r="AQ75" i="14"/>
  <c r="V20" i="7"/>
  <c r="S11" i="7"/>
  <c r="AA13" i="4"/>
  <c r="S14" i="4"/>
  <c r="D11" i="16"/>
  <c r="AP16" i="14"/>
  <c r="AF103" i="14"/>
  <c r="F54" i="16"/>
  <c r="C18" i="14"/>
  <c r="H73" i="14"/>
  <c r="AN13" i="14"/>
  <c r="C54" i="16"/>
  <c r="AR26" i="14"/>
  <c r="AD56" i="14"/>
  <c r="H82" i="14"/>
  <c r="D24" i="16"/>
  <c r="G11" i="16"/>
  <c r="AN18" i="14"/>
  <c r="I16" i="14"/>
  <c r="AL43" i="14"/>
  <c r="AF73" i="14"/>
  <c r="AU73" i="14"/>
  <c r="V11" i="6"/>
  <c r="W17" i="7"/>
  <c r="AN12" i="1"/>
  <c r="Z11" i="5"/>
  <c r="R11" i="1"/>
  <c r="F76" i="14"/>
  <c r="AK42" i="14"/>
  <c r="H55" i="16"/>
  <c r="G42" i="14"/>
  <c r="AD32" i="14"/>
  <c r="K70" i="14"/>
  <c r="H40" i="16"/>
  <c r="AD61" i="14"/>
  <c r="AU57" i="14"/>
  <c r="AK70" i="14"/>
  <c r="AU75" i="14"/>
  <c r="D73" i="16"/>
  <c r="H73" i="16"/>
  <c r="AK76" i="14"/>
  <c r="G96" i="14"/>
  <c r="K75" i="14"/>
  <c r="K65" i="14"/>
  <c r="AF70" i="14"/>
  <c r="AB65" i="14"/>
  <c r="I32" i="14"/>
  <c r="AA12" i="4"/>
  <c r="AB13" i="4"/>
  <c r="F14" i="16"/>
  <c r="AS82" i="14"/>
  <c r="AT26" i="14"/>
  <c r="F43" i="14"/>
  <c r="AU26" i="14"/>
  <c r="K73" i="14"/>
  <c r="D83" i="14"/>
  <c r="AD82" i="14"/>
  <c r="F24" i="16"/>
  <c r="D41" i="16"/>
  <c r="AN103" i="14"/>
  <c r="AR73" i="14"/>
  <c r="D14" i="16"/>
  <c r="AR103" i="14"/>
  <c r="G43" i="14"/>
  <c r="G16" i="16"/>
  <c r="I83" i="14"/>
  <c r="D54" i="16"/>
  <c r="AC22" i="1"/>
  <c r="AI71" i="14"/>
  <c r="AI47" i="14"/>
  <c r="AO26" i="14"/>
  <c r="I26" i="14"/>
  <c r="T11" i="6"/>
  <c r="X14" i="7"/>
  <c r="X17" i="7"/>
  <c r="AA11" i="5"/>
  <c r="AS26" i="14"/>
  <c r="AN82" i="14"/>
  <c r="AS16" i="14"/>
  <c r="AP82" i="14"/>
  <c r="AF13" i="14"/>
  <c r="AP56" i="14"/>
  <c r="C26" i="14"/>
  <c r="C82" i="14"/>
  <c r="AB13" i="14"/>
  <c r="E43" i="14"/>
  <c r="AB18" i="14"/>
  <c r="I56" i="14"/>
  <c r="E16" i="14"/>
  <c r="F71" i="16"/>
  <c r="AO56" i="14"/>
  <c r="H80" i="16"/>
  <c r="H54" i="16"/>
  <c r="E56" i="14"/>
  <c r="AA11" i="1"/>
  <c r="AI30" i="14"/>
  <c r="AI46" i="14"/>
  <c r="AF60" i="14"/>
  <c r="AD60" i="14"/>
  <c r="H63" i="16"/>
  <c r="H61" i="14"/>
  <c r="AU96" i="14"/>
  <c r="AN57" i="14"/>
  <c r="AL70" i="14"/>
  <c r="AU70" i="14"/>
  <c r="D94" i="16"/>
  <c r="E76" i="14"/>
  <c r="V25" i="7"/>
  <c r="T11" i="7"/>
  <c r="S15" i="4"/>
  <c r="E83" i="14"/>
  <c r="AD73" i="14"/>
  <c r="C11" i="16"/>
  <c r="AF82" i="14"/>
  <c r="K13" i="14"/>
  <c r="I43" i="14"/>
  <c r="AL16" i="14"/>
  <c r="D82" i="14"/>
  <c r="F16" i="14"/>
  <c r="G56" i="14"/>
  <c r="AT56" i="14"/>
  <c r="AQ18" i="14"/>
  <c r="C14" i="16"/>
  <c r="H83" i="14"/>
  <c r="H101" i="16"/>
  <c r="N11" i="6"/>
  <c r="W24" i="7"/>
  <c r="AN13" i="1"/>
  <c r="E65" i="14"/>
  <c r="AU76" i="14"/>
  <c r="AL65" i="14"/>
  <c r="N20" i="7"/>
  <c r="AR75" i="14"/>
  <c r="AS65" i="14"/>
  <c r="AT32" i="14"/>
  <c r="H75" i="14"/>
  <c r="I60" i="14"/>
  <c r="AO32" i="14"/>
  <c r="H60" i="14"/>
  <c r="AN60" i="14"/>
  <c r="G30" i="16"/>
  <c r="AS96" i="14"/>
  <c r="AD70" i="14"/>
  <c r="D59" i="16"/>
  <c r="G94" i="16"/>
  <c r="D32" i="14"/>
  <c r="AB76" i="14"/>
  <c r="AM76" i="14"/>
  <c r="AL26" i="14"/>
  <c r="C101" i="16"/>
  <c r="AK18" i="14"/>
  <c r="AL83" i="14"/>
  <c r="AR16" i="14"/>
  <c r="AP43" i="14"/>
  <c r="AD13" i="14"/>
  <c r="C71" i="16"/>
  <c r="AO18" i="14"/>
  <c r="AF26" i="14"/>
  <c r="F81" i="16"/>
  <c r="AO13" i="14"/>
  <c r="F82" i="14"/>
  <c r="F56" i="14"/>
  <c r="C43" i="14"/>
  <c r="R11" i="5"/>
  <c r="Z22" i="1"/>
  <c r="AI35" i="14"/>
  <c r="AQ26" i="14"/>
  <c r="H16" i="16"/>
  <c r="G18" i="14"/>
  <c r="I103" i="14"/>
  <c r="AQ83" i="14"/>
  <c r="AR83" i="14"/>
  <c r="AT83" i="14"/>
  <c r="D16" i="14"/>
  <c r="F103" i="14"/>
  <c r="U11" i="6"/>
  <c r="AE12" i="4"/>
  <c r="W14" i="7"/>
  <c r="AQ82" i="14"/>
  <c r="D103" i="14"/>
  <c r="AT82" i="14"/>
  <c r="AM103" i="14"/>
  <c r="AS56" i="14"/>
  <c r="H24" i="16"/>
  <c r="AS13" i="14"/>
  <c r="H81" i="16"/>
  <c r="AL103" i="14"/>
  <c r="D73" i="14"/>
  <c r="AS43" i="14"/>
  <c r="C41" i="16"/>
  <c r="AF56" i="14"/>
  <c r="C24" i="16"/>
  <c r="T23" i="7"/>
  <c r="AI95" i="14"/>
  <c r="R22" i="1"/>
  <c r="AI45" i="14"/>
  <c r="S22" i="1"/>
  <c r="H11" i="16"/>
  <c r="AT73" i="14"/>
  <c r="AS73" i="14"/>
  <c r="G24" i="16"/>
  <c r="AL56" i="14"/>
  <c r="F101" i="16"/>
  <c r="AU56" i="14"/>
  <c r="AM83" i="14"/>
  <c r="AK56" i="14"/>
  <c r="F18" i="14"/>
  <c r="AT43" i="14"/>
  <c r="AB43" i="14"/>
  <c r="D101" i="16"/>
  <c r="H71" i="16"/>
  <c r="C83" i="14"/>
  <c r="H103" i="14"/>
  <c r="K18" i="14"/>
  <c r="AB56" i="14"/>
  <c r="H26" i="14"/>
  <c r="AB82" i="14"/>
  <c r="W11" i="6"/>
  <c r="AO12" i="1"/>
  <c r="X24" i="7"/>
  <c r="AN96" i="14"/>
  <c r="R12" i="4"/>
  <c r="AO83" i="14"/>
  <c r="F11" i="16"/>
  <c r="AF43" i="14"/>
  <c r="AN56" i="14"/>
  <c r="AB83" i="14"/>
  <c r="F26" i="14"/>
  <c r="I82" i="14"/>
  <c r="F83" i="14"/>
  <c r="AT13" i="14"/>
  <c r="AN26" i="14"/>
  <c r="I73" i="14"/>
  <c r="D43" i="14"/>
  <c r="AK13" i="14"/>
  <c r="D26" i="14"/>
  <c r="N23" i="7"/>
  <c r="AI99" i="14"/>
  <c r="AC11" i="1"/>
  <c r="S11" i="1"/>
  <c r="S25" i="7"/>
  <c r="B27" i="12"/>
  <c r="F13" i="14"/>
  <c r="AP103" i="14"/>
  <c r="AM73" i="14"/>
  <c r="G41" i="16"/>
  <c r="AU43" i="14"/>
  <c r="AS103" i="14"/>
  <c r="AD16" i="14"/>
  <c r="AB16" i="14"/>
  <c r="C16" i="16"/>
  <c r="G80" i="16"/>
  <c r="AK43" i="14"/>
  <c r="E103" i="14"/>
  <c r="F73" i="14"/>
  <c r="C56" i="14"/>
  <c r="AL73" i="14"/>
  <c r="AR43" i="14"/>
  <c r="AQ103" i="14"/>
  <c r="C16" i="14"/>
  <c r="AU16" i="14"/>
  <c r="AK73" i="14"/>
  <c r="S11" i="6"/>
  <c r="AD12" i="4"/>
  <c r="X13" i="7"/>
  <c r="F74" i="16"/>
  <c r="C59" i="16"/>
  <c r="AP70" i="14"/>
  <c r="H59" i="16"/>
  <c r="K42" i="14"/>
  <c r="AF75" i="14"/>
  <c r="AL75" i="14"/>
  <c r="C58" i="16"/>
  <c r="AR32" i="14"/>
  <c r="AK61" i="14"/>
  <c r="AN32" i="14"/>
  <c r="AT65" i="14"/>
  <c r="F73" i="16"/>
  <c r="AA14" i="4"/>
  <c r="AK26" i="14"/>
  <c r="AB103" i="14"/>
  <c r="G71" i="16"/>
  <c r="AP73" i="14"/>
  <c r="AK16" i="14"/>
  <c r="G101" i="16"/>
  <c r="K83" i="14"/>
  <c r="AP83" i="14"/>
  <c r="AO103" i="14"/>
  <c r="AQ16" i="14"/>
  <c r="I18" i="14"/>
  <c r="AM26" i="14"/>
  <c r="K26" i="14"/>
  <c r="V23" i="7"/>
  <c r="AA22" i="1"/>
  <c r="J26" i="6"/>
  <c r="AC15" i="4"/>
  <c r="F96" i="14"/>
  <c r="AT75" i="14"/>
  <c r="AO76" i="14"/>
  <c r="AO60" i="14"/>
  <c r="AQ60" i="14"/>
  <c r="G40" i="16"/>
  <c r="I61" i="14"/>
  <c r="C65" i="14"/>
  <c r="AN75" i="14"/>
  <c r="H76" i="14"/>
  <c r="G55" i="16"/>
  <c r="C60" i="14"/>
  <c r="AD65" i="14"/>
  <c r="C75" i="14"/>
  <c r="AF57" i="14"/>
  <c r="E57" i="14"/>
  <c r="G70" i="14"/>
  <c r="AD42" i="14"/>
  <c r="D65" i="14"/>
  <c r="C40" i="16"/>
  <c r="V12" i="7"/>
  <c r="V11" i="7"/>
  <c r="Z13" i="4"/>
  <c r="R15" i="4"/>
  <c r="R13" i="4"/>
  <c r="D71" i="16"/>
  <c r="H56" i="14"/>
  <c r="AK82" i="14"/>
  <c r="AT103" i="14"/>
  <c r="D80" i="16"/>
  <c r="AQ13" i="14"/>
  <c r="AU83" i="14"/>
  <c r="AD103" i="14"/>
  <c r="I13" i="14"/>
  <c r="D18" i="14"/>
  <c r="AM16" i="14"/>
  <c r="G83" i="14"/>
  <c r="G14" i="16"/>
  <c r="AT16" i="14"/>
  <c r="AU103" i="14"/>
  <c r="AU13" i="14"/>
  <c r="AK83" i="14"/>
  <c r="D16" i="16"/>
  <c r="AQ56" i="14"/>
  <c r="AU18" i="14"/>
  <c r="AO13" i="1"/>
  <c r="AO17" i="1"/>
  <c r="AB11" i="5"/>
  <c r="U19" i="7"/>
  <c r="C42" i="14"/>
  <c r="G76" i="14"/>
  <c r="F30" i="16"/>
  <c r="D61" i="14"/>
  <c r="F61" i="14"/>
  <c r="AL61" i="14"/>
  <c r="AQ65" i="14"/>
  <c r="AM61" i="14"/>
  <c r="D60" i="14"/>
  <c r="AB75" i="14"/>
  <c r="AU42" i="14"/>
  <c r="I42" i="14"/>
  <c r="G73" i="16"/>
  <c r="AB32" i="14"/>
  <c r="F40" i="16"/>
  <c r="G54" i="16"/>
  <c r="H13" i="14"/>
  <c r="AU82" i="14"/>
  <c r="AP26" i="14"/>
  <c r="K43" i="14"/>
  <c r="AB73" i="14"/>
  <c r="AS83" i="14"/>
  <c r="K16" i="14"/>
  <c r="C13" i="14"/>
  <c r="AF18" i="14"/>
  <c r="G16" i="14"/>
  <c r="AM43" i="14"/>
  <c r="K82" i="14"/>
  <c r="AM13" i="14"/>
  <c r="AP18" i="14"/>
  <c r="AT18" i="14"/>
  <c r="S23" i="7"/>
  <c r="Z11" i="1"/>
  <c r="AB22" i="1"/>
  <c r="AI44" i="14"/>
  <c r="AI107" i="14"/>
  <c r="D108" i="14"/>
  <c r="AK86" i="14"/>
  <c r="D21" i="16"/>
  <c r="AR74" i="14"/>
  <c r="AD74" i="14"/>
  <c r="AT72" i="14"/>
  <c r="AF38" i="14"/>
  <c r="K31" i="14"/>
  <c r="G84" i="16"/>
  <c r="F87" i="16"/>
  <c r="AF72" i="14"/>
  <c r="AM64" i="14"/>
  <c r="D65" i="16"/>
  <c r="H74" i="14"/>
  <c r="AB31" i="14"/>
  <c r="AL40" i="14"/>
  <c r="K33" i="14"/>
  <c r="C72" i="14"/>
  <c r="G64" i="14"/>
  <c r="I110" i="14"/>
  <c r="AM89" i="14"/>
  <c r="AB33" i="14"/>
  <c r="C66" i="16"/>
  <c r="AF21" i="14"/>
  <c r="AN11" i="14"/>
  <c r="AF74" i="14"/>
  <c r="F11" i="14"/>
  <c r="AU53" i="14"/>
  <c r="AO21" i="14"/>
  <c r="AF79" i="14"/>
  <c r="H72" i="14"/>
  <c r="F55" i="14"/>
  <c r="AB72" i="14"/>
  <c r="AQ27" i="14"/>
  <c r="C36" i="16"/>
  <c r="G108" i="14"/>
  <c r="AB108" i="14"/>
  <c r="AK21" i="14"/>
  <c r="AQ38" i="14"/>
  <c r="K11" i="14"/>
  <c r="F40" i="14"/>
  <c r="E79" i="14"/>
  <c r="G11" i="14"/>
  <c r="K21" i="14"/>
  <c r="AK108" i="14"/>
  <c r="K67" i="14"/>
  <c r="AL50" i="14"/>
  <c r="C53" i="14"/>
  <c r="AS79" i="14"/>
  <c r="D68" i="14"/>
  <c r="AL110" i="14"/>
  <c r="AQ86" i="14"/>
  <c r="AR21" i="14"/>
  <c r="AU68" i="14"/>
  <c r="I68" i="14"/>
  <c r="AP89" i="14"/>
  <c r="D11" i="14"/>
  <c r="H48" i="16"/>
  <c r="AN38" i="14"/>
  <c r="H68" i="14"/>
  <c r="AD53" i="14"/>
  <c r="I11" i="14"/>
  <c r="AF54" i="14"/>
  <c r="K40" i="14"/>
  <c r="H56" i="16"/>
  <c r="AT86" i="14"/>
  <c r="K38" i="14"/>
  <c r="AQ64" i="14"/>
  <c r="C53" i="16"/>
  <c r="AL79" i="14"/>
  <c r="AB40" i="14"/>
  <c r="AM86" i="14"/>
  <c r="AK23" i="14"/>
  <c r="H108" i="16"/>
  <c r="AP110" i="14"/>
  <c r="F38" i="14"/>
  <c r="AM53" i="14"/>
  <c r="D55" i="14"/>
  <c r="AT64" i="14"/>
  <c r="D19" i="16"/>
  <c r="F19" i="16"/>
  <c r="AQ21" i="14"/>
  <c r="K110" i="14"/>
  <c r="I33" i="14"/>
  <c r="F50" i="14"/>
  <c r="AD79" i="14"/>
  <c r="F64" i="14"/>
  <c r="I12" i="6"/>
  <c r="C12" i="14"/>
  <c r="AL33" i="14"/>
  <c r="AK89" i="14"/>
  <c r="AT79" i="14"/>
  <c r="AQ33" i="14"/>
  <c r="AD89" i="14"/>
  <c r="AF55" i="14"/>
  <c r="H72" i="16"/>
  <c r="F54" i="14"/>
  <c r="AQ31" i="14"/>
  <c r="AS40" i="14"/>
  <c r="AK68" i="14"/>
  <c r="C52" i="16"/>
  <c r="E31" i="14"/>
  <c r="AP72" i="14"/>
  <c r="AM74" i="14"/>
  <c r="F75" i="16"/>
  <c r="AM23" i="14"/>
  <c r="G53" i="16"/>
  <c r="AD64" i="14"/>
  <c r="AS38" i="14"/>
  <c r="AN74" i="14"/>
  <c r="F110" i="14"/>
  <c r="H77" i="16"/>
  <c r="AL72" i="14"/>
  <c r="AR54" i="14"/>
  <c r="AS86" i="14"/>
  <c r="AF31" i="14"/>
  <c r="C77" i="16"/>
  <c r="W20" i="7"/>
  <c r="AB67" i="14"/>
  <c r="K25" i="14"/>
  <c r="D70" i="16"/>
  <c r="E64" i="14"/>
  <c r="G89" i="14"/>
  <c r="D89" i="14"/>
  <c r="AA18" i="1"/>
  <c r="AF58" i="14"/>
  <c r="AQ77" i="14"/>
  <c r="H40" i="14"/>
  <c r="E38" i="14"/>
  <c r="AQ68" i="14"/>
  <c r="G66" i="16"/>
  <c r="C38" i="14"/>
  <c r="AT53" i="14"/>
  <c r="AL68" i="14"/>
  <c r="AF68" i="14"/>
  <c r="AK54" i="14"/>
  <c r="AS74" i="14"/>
  <c r="AB68" i="14"/>
  <c r="AL74" i="14"/>
  <c r="AN89" i="14"/>
  <c r="AU23" i="14"/>
  <c r="C70" i="16"/>
  <c r="AD86" i="14"/>
  <c r="H53" i="14"/>
  <c r="AL21" i="14"/>
  <c r="AD21" i="14"/>
  <c r="AB20" i="14"/>
  <c r="AU33" i="14"/>
  <c r="AN86" i="14"/>
  <c r="AP86" i="14"/>
  <c r="AO86" i="14"/>
  <c r="AL31" i="14"/>
  <c r="F68" i="14"/>
  <c r="G70" i="16"/>
  <c r="F33" i="14"/>
  <c r="AD11" i="14"/>
  <c r="AN108" i="14"/>
  <c r="K54" i="14"/>
  <c r="AU38" i="14"/>
  <c r="AU64" i="14"/>
  <c r="AU72" i="14"/>
  <c r="D72" i="14"/>
  <c r="AM108" i="14"/>
  <c r="AP68" i="14"/>
  <c r="K79" i="14"/>
  <c r="E23" i="14"/>
  <c r="AR64" i="14"/>
  <c r="C19" i="16"/>
  <c r="D38" i="16"/>
  <c r="AU74" i="14"/>
  <c r="G21" i="16"/>
  <c r="AD108" i="14"/>
  <c r="E72" i="14"/>
  <c r="D51" i="16"/>
  <c r="AN27" i="14"/>
  <c r="C21" i="16"/>
  <c r="AF53" i="14"/>
  <c r="AQ53" i="14"/>
  <c r="E86" i="14"/>
  <c r="AO68" i="14"/>
  <c r="H110" i="14"/>
  <c r="H108" i="14"/>
  <c r="AP33" i="14"/>
  <c r="AU11" i="14"/>
  <c r="AO55" i="14"/>
  <c r="D21" i="14"/>
  <c r="AL108" i="14"/>
  <c r="AK64" i="14"/>
  <c r="C31" i="14"/>
  <c r="AR31" i="14"/>
  <c r="H9" i="16"/>
  <c r="G110" i="14"/>
  <c r="G23" i="14"/>
  <c r="G52" i="16"/>
  <c r="H31" i="16"/>
  <c r="AL38" i="14"/>
  <c r="H51" i="16"/>
  <c r="AL86" i="14"/>
  <c r="G68" i="14"/>
  <c r="AU31" i="14"/>
  <c r="F53" i="14"/>
  <c r="AB64" i="14"/>
  <c r="AC15" i="1"/>
  <c r="AT109" i="14"/>
  <c r="D84" i="16"/>
  <c r="AP21" i="14"/>
  <c r="F31" i="14"/>
  <c r="I23" i="14"/>
  <c r="AN64" i="14"/>
  <c r="AR108" i="14"/>
  <c r="AR89" i="14"/>
  <c r="C31" i="16"/>
  <c r="E55" i="14"/>
  <c r="Z19" i="1"/>
  <c r="E40" i="14"/>
  <c r="AM55" i="14"/>
  <c r="D40" i="14"/>
  <c r="C74" i="14"/>
  <c r="I38" i="14"/>
  <c r="AK74" i="14"/>
  <c r="C110" i="14"/>
  <c r="E110" i="14"/>
  <c r="D36" i="16"/>
  <c r="AO108" i="14"/>
  <c r="I74" i="14"/>
  <c r="G19" i="16"/>
  <c r="F108" i="16"/>
  <c r="F72" i="16"/>
  <c r="AB11" i="14"/>
  <c r="C84" i="16"/>
  <c r="AR55" i="14"/>
  <c r="K86" i="14"/>
  <c r="H53" i="16"/>
  <c r="AM38" i="14"/>
  <c r="G31" i="14"/>
  <c r="F38" i="16"/>
  <c r="AK53" i="14"/>
  <c r="G33" i="14"/>
  <c r="AU89" i="14"/>
  <c r="F72" i="14"/>
  <c r="AO31" i="14"/>
  <c r="D106" i="16"/>
  <c r="G54" i="14"/>
  <c r="F66" i="16"/>
  <c r="AU40" i="14"/>
  <c r="AM31" i="14"/>
  <c r="G18" i="6"/>
  <c r="AO50" i="14"/>
  <c r="AS12" i="14"/>
  <c r="AM46" i="14"/>
  <c r="D79" i="14"/>
  <c r="I89" i="14"/>
  <c r="AP64" i="14"/>
  <c r="K108" i="14"/>
  <c r="G87" i="16"/>
  <c r="AO110" i="14"/>
  <c r="C38" i="16"/>
  <c r="AM110" i="14"/>
  <c r="AO64" i="14"/>
  <c r="G31" i="16"/>
  <c r="H31" i="14"/>
  <c r="F53" i="16"/>
  <c r="G74" i="14"/>
  <c r="AL54" i="14"/>
  <c r="AM40" i="14"/>
  <c r="F79" i="14"/>
  <c r="AR33" i="14"/>
  <c r="D87" i="16"/>
  <c r="C64" i="14"/>
  <c r="H84" i="16"/>
  <c r="C33" i="14"/>
  <c r="AN31" i="14"/>
  <c r="AR11" i="14"/>
  <c r="C108" i="16"/>
  <c r="AU21" i="14"/>
  <c r="H89" i="14"/>
  <c r="E53" i="14"/>
  <c r="AS89" i="14"/>
  <c r="I64" i="14"/>
  <c r="I79" i="14"/>
  <c r="AB21" i="1"/>
  <c r="F48" i="16"/>
  <c r="C103" i="16"/>
  <c r="H52" i="14"/>
  <c r="F31" i="16"/>
  <c r="AU79" i="14"/>
  <c r="F51" i="16"/>
  <c r="K68" i="14"/>
  <c r="H33" i="14"/>
  <c r="AT58" i="14"/>
  <c r="AT93" i="14"/>
  <c r="I92" i="14"/>
  <c r="AN72" i="14"/>
  <c r="G72" i="16"/>
  <c r="AU86" i="14"/>
  <c r="H79" i="14"/>
  <c r="K23" i="14"/>
  <c r="AN21" i="14"/>
  <c r="C89" i="14"/>
  <c r="AQ11" i="14"/>
  <c r="H106" i="16"/>
  <c r="AS21" i="14"/>
  <c r="AN33" i="14"/>
  <c r="G21" i="14"/>
  <c r="G77" i="16"/>
  <c r="AL53" i="14"/>
  <c r="C40" i="14"/>
  <c r="AF110" i="14"/>
  <c r="D72" i="16"/>
  <c r="AP108" i="14"/>
  <c r="AT89" i="14"/>
  <c r="H19" i="16"/>
  <c r="AQ79" i="14"/>
  <c r="D9" i="16"/>
  <c r="AN55" i="14"/>
  <c r="AF86" i="14"/>
  <c r="AU108" i="14"/>
  <c r="C29" i="16"/>
  <c r="H86" i="14"/>
  <c r="I72" i="14"/>
  <c r="D31" i="16"/>
  <c r="G12" i="6"/>
  <c r="Z18" i="1"/>
  <c r="K93" i="14"/>
  <c r="D105" i="14"/>
  <c r="AU27" i="14"/>
  <c r="F56" i="16"/>
  <c r="G72" i="14"/>
  <c r="AN54" i="14"/>
  <c r="G29" i="16"/>
  <c r="AS72" i="14"/>
  <c r="E89" i="14"/>
  <c r="AL11" i="14"/>
  <c r="AM79" i="14"/>
  <c r="F86" i="14"/>
  <c r="C68" i="14"/>
  <c r="AQ23" i="14"/>
  <c r="AO53" i="14"/>
  <c r="AS23" i="14"/>
  <c r="AO72" i="14"/>
  <c r="E11" i="14"/>
  <c r="D66" i="16"/>
  <c r="D64" i="14"/>
  <c r="D26" i="6"/>
  <c r="G109" i="14"/>
  <c r="F109" i="14"/>
  <c r="G40" i="14"/>
  <c r="AP79" i="14"/>
  <c r="AB74" i="14"/>
  <c r="H52" i="16"/>
  <c r="AM33" i="14"/>
  <c r="F108" i="14"/>
  <c r="F36" i="16"/>
  <c r="H38" i="16"/>
  <c r="AQ74" i="14"/>
  <c r="I40" i="14"/>
  <c r="D108" i="16"/>
  <c r="E74" i="14"/>
  <c r="D29" i="16"/>
  <c r="AR38" i="14"/>
  <c r="F21" i="14"/>
  <c r="AT68" i="14"/>
  <c r="AB54" i="14"/>
  <c r="I21" i="14"/>
  <c r="AD110" i="14"/>
  <c r="AQ89" i="14"/>
  <c r="AP53" i="14"/>
  <c r="AB21" i="14"/>
  <c r="F106" i="16"/>
  <c r="G23" i="6"/>
  <c r="AD27" i="14"/>
  <c r="AR79" i="14"/>
  <c r="H66" i="16"/>
  <c r="H62" i="16"/>
  <c r="AM11" i="14"/>
  <c r="AS11" i="14"/>
  <c r="AB89" i="14"/>
  <c r="AS53" i="14"/>
  <c r="AT11" i="14"/>
  <c r="AD38" i="14"/>
  <c r="AT108" i="14"/>
  <c r="I108" i="14"/>
  <c r="AP23" i="14"/>
  <c r="AB55" i="14"/>
  <c r="AO23" i="14"/>
  <c r="C11" i="14"/>
  <c r="D77" i="16"/>
  <c r="C55" i="14"/>
  <c r="AK72" i="14"/>
  <c r="AU110" i="14"/>
  <c r="D62" i="16"/>
  <c r="AK31" i="14"/>
  <c r="AO54" i="14"/>
  <c r="AQ72" i="14"/>
  <c r="AR40" i="14"/>
  <c r="AP54" i="14"/>
  <c r="W11" i="7"/>
  <c r="AA20" i="1"/>
  <c r="AF105" i="14"/>
  <c r="F103" i="16"/>
  <c r="AU100" i="14"/>
  <c r="AM92" i="14"/>
  <c r="G38" i="16"/>
  <c r="AT23" i="14"/>
  <c r="C72" i="16"/>
  <c r="AT21" i="14"/>
  <c r="C51" i="16"/>
  <c r="G16" i="6"/>
  <c r="X23" i="7"/>
  <c r="AP50" i="14"/>
  <c r="C48" i="16"/>
  <c r="C39" i="14"/>
  <c r="F12" i="14"/>
  <c r="AT74" i="14"/>
  <c r="AN23" i="14"/>
  <c r="AR86" i="14"/>
  <c r="F89" i="14"/>
  <c r="E12" i="6"/>
  <c r="R18" i="1"/>
  <c r="K58" i="14"/>
  <c r="AF100" i="14"/>
  <c r="AM105" i="14"/>
  <c r="G12" i="14"/>
  <c r="F85" i="16"/>
  <c r="AD68" i="14"/>
  <c r="G53" i="14"/>
  <c r="H23" i="14"/>
  <c r="AL55" i="14"/>
  <c r="E21" i="14"/>
  <c r="AP11" i="14"/>
  <c r="AR23" i="14"/>
  <c r="AT40" i="14"/>
  <c r="H64" i="14"/>
  <c r="AP31" i="14"/>
  <c r="G62" i="16"/>
  <c r="AD33" i="14"/>
  <c r="H11" i="14"/>
  <c r="G36" i="16"/>
  <c r="AS64" i="14"/>
  <c r="AF89" i="14"/>
  <c r="AD54" i="14"/>
  <c r="D74" i="14"/>
  <c r="AQ54" i="14"/>
  <c r="AN50" i="14"/>
  <c r="H39" i="14"/>
  <c r="AS58" i="14"/>
  <c r="C45" i="16"/>
  <c r="F74" i="14"/>
  <c r="K64" i="14"/>
  <c r="D23" i="14"/>
  <c r="AO40" i="14"/>
  <c r="C106" i="16"/>
  <c r="AR68" i="14"/>
  <c r="AP38" i="14"/>
  <c r="G79" i="14"/>
  <c r="AO79" i="14"/>
  <c r="AS55" i="14"/>
  <c r="AR72" i="14"/>
  <c r="H38" i="14"/>
  <c r="AR53" i="14"/>
  <c r="F62" i="16"/>
  <c r="AL23" i="14"/>
  <c r="AP74" i="14"/>
  <c r="D52" i="16"/>
  <c r="AF64" i="14"/>
  <c r="AF108" i="14"/>
  <c r="F23" i="14"/>
  <c r="AO89" i="14"/>
  <c r="H55" i="14"/>
  <c r="E18" i="6"/>
  <c r="AB93" i="14"/>
  <c r="AB105" i="14"/>
  <c r="AS52" i="14"/>
  <c r="C21" i="14"/>
  <c r="AT38" i="14"/>
  <c r="AM68" i="14"/>
  <c r="AS68" i="14"/>
  <c r="AF11" i="14"/>
  <c r="AO11" i="14"/>
  <c r="AK40" i="14"/>
  <c r="H70" i="16"/>
  <c r="D33" i="14"/>
  <c r="F70" i="16"/>
  <c r="AS54" i="14"/>
  <c r="G51" i="16"/>
  <c r="D38" i="14"/>
  <c r="AK33" i="14"/>
  <c r="AB79" i="14"/>
  <c r="AM54" i="14"/>
  <c r="AU55" i="14"/>
  <c r="H29" i="16"/>
  <c r="AK11" i="14"/>
  <c r="F9" i="16"/>
  <c r="AD23" i="14"/>
  <c r="AH23" i="14" s="1"/>
  <c r="AK79" i="14"/>
  <c r="C108" i="14"/>
  <c r="AO33" i="14"/>
  <c r="E54" i="14"/>
  <c r="H54" i="14"/>
  <c r="AB38" i="14"/>
  <c r="AQ110" i="14"/>
  <c r="AS33" i="14"/>
  <c r="AN40" i="14"/>
  <c r="D53" i="16"/>
  <c r="AO38" i="14"/>
  <c r="AK38" i="14"/>
  <c r="AN110" i="14"/>
  <c r="F52" i="16"/>
  <c r="F29" i="16"/>
  <c r="C9" i="16"/>
  <c r="AS110" i="14"/>
  <c r="I18" i="6"/>
  <c r="F107" i="16"/>
  <c r="AF67" i="14"/>
  <c r="F27" i="14"/>
  <c r="AM67" i="14"/>
  <c r="AS39" i="14"/>
  <c r="D39" i="14"/>
  <c r="AO93" i="14"/>
  <c r="G107" i="16"/>
  <c r="AM50" i="14"/>
  <c r="Y26" i="6"/>
  <c r="AM47" i="14"/>
  <c r="AK98" i="14"/>
  <c r="AK25" i="14"/>
  <c r="H23" i="16"/>
  <c r="AN80" i="14"/>
  <c r="W23" i="7"/>
  <c r="AB19" i="1"/>
  <c r="C25" i="16"/>
  <c r="F65" i="16"/>
  <c r="AL105" i="14"/>
  <c r="D10" i="16"/>
  <c r="AF93" i="14"/>
  <c r="AK109" i="14"/>
  <c r="AB109" i="14"/>
  <c r="AN109" i="14"/>
  <c r="C98" i="14"/>
  <c r="AM98" i="14"/>
  <c r="H20" i="14"/>
  <c r="AR90" i="14"/>
  <c r="AL27" i="14"/>
  <c r="G91" i="16"/>
  <c r="AK67" i="14"/>
  <c r="K50" i="14"/>
  <c r="I67" i="14"/>
  <c r="Y17" i="6"/>
  <c r="E25" i="14"/>
  <c r="D50" i="16"/>
  <c r="D96" i="16"/>
  <c r="G107" i="14"/>
  <c r="C105" i="16"/>
  <c r="K84" i="14"/>
  <c r="H29" i="14"/>
  <c r="D16" i="6"/>
  <c r="X11" i="7"/>
  <c r="R20" i="1"/>
  <c r="D27" i="14"/>
  <c r="AU109" i="14"/>
  <c r="H12" i="14"/>
  <c r="AD93" i="14"/>
  <c r="D37" i="16"/>
  <c r="AD109" i="14"/>
  <c r="AL109" i="14"/>
  <c r="AK77" i="14"/>
  <c r="AS47" i="14"/>
  <c r="AD90" i="14"/>
  <c r="H35" i="14"/>
  <c r="F88" i="14"/>
  <c r="AB86" i="14"/>
  <c r="K55" i="14"/>
  <c r="AB23" i="14"/>
  <c r="AP55" i="14"/>
  <c r="AN68" i="14"/>
  <c r="I54" i="14"/>
  <c r="AD55" i="14"/>
  <c r="AM72" i="14"/>
  <c r="AS31" i="14"/>
  <c r="AM21" i="14"/>
  <c r="AT54" i="14"/>
  <c r="D12" i="6"/>
  <c r="E16" i="6"/>
  <c r="AE15" i="4"/>
  <c r="AA19" i="1"/>
  <c r="AR67" i="14"/>
  <c r="AK50" i="14"/>
  <c r="D50" i="14"/>
  <c r="K100" i="14"/>
  <c r="AT67" i="14"/>
  <c r="AD105" i="14"/>
  <c r="C98" i="16"/>
  <c r="AD67" i="14"/>
  <c r="Y12" i="6"/>
  <c r="D18" i="16"/>
  <c r="AD47" i="14"/>
  <c r="AS46" i="14"/>
  <c r="D75" i="16"/>
  <c r="C27" i="16"/>
  <c r="E68" i="14"/>
  <c r="AQ108" i="14"/>
  <c r="AK55" i="14"/>
  <c r="I16" i="6"/>
  <c r="AD15" i="4"/>
  <c r="R19" i="1"/>
  <c r="AB15" i="1"/>
  <c r="S18" i="1"/>
  <c r="G93" i="14"/>
  <c r="AS27" i="14"/>
  <c r="AN105" i="14"/>
  <c r="AK93" i="14"/>
  <c r="G48" i="16"/>
  <c r="H100" i="14"/>
  <c r="AN100" i="14"/>
  <c r="AQ39" i="14"/>
  <c r="E105" i="14"/>
  <c r="AK105" i="14"/>
  <c r="D91" i="16"/>
  <c r="D100" i="14"/>
  <c r="AP105" i="14"/>
  <c r="AN47" i="14"/>
  <c r="H96" i="16"/>
  <c r="AF47" i="14"/>
  <c r="G88" i="14"/>
  <c r="AO74" i="14"/>
  <c r="F26" i="6"/>
  <c r="G26" i="6"/>
  <c r="AO14" i="1"/>
  <c r="AB18" i="1"/>
  <c r="AR105" i="14"/>
  <c r="D93" i="14"/>
  <c r="AD12" i="14"/>
  <c r="AQ58" i="14"/>
  <c r="D48" i="16"/>
  <c r="AB39" i="14"/>
  <c r="C65" i="16"/>
  <c r="E20" i="14"/>
  <c r="AT52" i="14"/>
  <c r="F18" i="16"/>
  <c r="AQ98" i="14"/>
  <c r="H98" i="14"/>
  <c r="C18" i="16"/>
  <c r="AB51" i="14"/>
  <c r="AL64" i="14"/>
  <c r="I55" i="14"/>
  <c r="AT31" i="14"/>
  <c r="H21" i="16"/>
  <c r="G9" i="16"/>
  <c r="C54" i="14"/>
  <c r="D31" i="14"/>
  <c r="K74" i="14"/>
  <c r="AL89" i="14"/>
  <c r="C23" i="14"/>
  <c r="D18" i="6"/>
  <c r="W16" i="7"/>
  <c r="AA15" i="1"/>
  <c r="AA21" i="1"/>
  <c r="AN22" i="1"/>
  <c r="AP67" i="14"/>
  <c r="AT105" i="14"/>
  <c r="AL58" i="14"/>
  <c r="C10" i="16"/>
  <c r="AU93" i="14"/>
  <c r="H50" i="14"/>
  <c r="I58" i="14"/>
  <c r="AO67" i="14"/>
  <c r="H10" i="16"/>
  <c r="AL12" i="14"/>
  <c r="D67" i="14"/>
  <c r="AK27" i="14"/>
  <c r="K105" i="14"/>
  <c r="AN20" i="14"/>
  <c r="AM35" i="14"/>
  <c r="I86" i="14"/>
  <c r="G106" i="16"/>
  <c r="AF40" i="14"/>
  <c r="H87" i="16"/>
  <c r="F16" i="6"/>
  <c r="F23" i="6"/>
  <c r="W15" i="7"/>
  <c r="S15" i="1"/>
  <c r="H107" i="16"/>
  <c r="AP58" i="14"/>
  <c r="AQ93" i="14"/>
  <c r="H98" i="16"/>
  <c r="AN93" i="14"/>
  <c r="AK58" i="14"/>
  <c r="AN67" i="14"/>
  <c r="F107" i="14"/>
  <c r="AF92" i="14"/>
  <c r="AB47" i="14"/>
  <c r="AQ20" i="14"/>
  <c r="H75" i="16"/>
  <c r="C96" i="16"/>
  <c r="AT47" i="14"/>
  <c r="D20" i="14"/>
  <c r="AD29" i="14"/>
  <c r="F41" i="14"/>
  <c r="AN14" i="1"/>
  <c r="Z20" i="1"/>
  <c r="Z15" i="1"/>
  <c r="S19" i="1"/>
  <c r="AP27" i="14"/>
  <c r="AQ50" i="14"/>
  <c r="G27" i="14"/>
  <c r="AB27" i="14"/>
  <c r="AK39" i="14"/>
  <c r="AP39" i="14"/>
  <c r="H105" i="14"/>
  <c r="K47" i="14"/>
  <c r="D77" i="14"/>
  <c r="AM107" i="14"/>
  <c r="AU20" i="14"/>
  <c r="AT107" i="14"/>
  <c r="I26" i="6"/>
  <c r="X16" i="7"/>
  <c r="X15" i="7"/>
  <c r="R21" i="1"/>
  <c r="AO22" i="1"/>
  <c r="G25" i="16"/>
  <c r="D98" i="16"/>
  <c r="AQ105" i="14"/>
  <c r="AM109" i="14"/>
  <c r="E67" i="14"/>
  <c r="AU39" i="14"/>
  <c r="AQ109" i="14"/>
  <c r="G100" i="14"/>
  <c r="AL39" i="14"/>
  <c r="AU12" i="14"/>
  <c r="E90" i="14"/>
  <c r="C47" i="14"/>
  <c r="I107" i="14"/>
  <c r="AB78" i="14"/>
  <c r="K29" i="14"/>
  <c r="F12" i="6"/>
  <c r="E23" i="6"/>
  <c r="AB20" i="1"/>
  <c r="AC21" i="1"/>
  <c r="S21" i="1"/>
  <c r="F10" i="16"/>
  <c r="AK12" i="14"/>
  <c r="AT100" i="14"/>
  <c r="G65" i="16"/>
  <c r="F91" i="16"/>
  <c r="AB58" i="14"/>
  <c r="H37" i="16"/>
  <c r="F67" i="14"/>
  <c r="AM58" i="14"/>
  <c r="D107" i="16"/>
  <c r="F37" i="16"/>
  <c r="X11" i="6"/>
  <c r="AK47" i="14"/>
  <c r="F88" i="16"/>
  <c r="AQ90" i="14"/>
  <c r="D90" i="16"/>
  <c r="I90" i="14"/>
  <c r="H36" i="16"/>
  <c r="F84" i="16"/>
  <c r="D86" i="14"/>
  <c r="AB53" i="14"/>
  <c r="K72" i="14"/>
  <c r="G108" i="16"/>
  <c r="K53" i="14"/>
  <c r="C79" i="14"/>
  <c r="C86" i="14"/>
  <c r="AT110" i="14"/>
  <c r="AP40" i="14"/>
  <c r="AF33" i="14"/>
  <c r="AN53" i="14"/>
  <c r="AT55" i="14"/>
  <c r="G86" i="14"/>
  <c r="AR110" i="14"/>
  <c r="D54" i="14"/>
  <c r="AQ40" i="14"/>
  <c r="G55" i="14"/>
  <c r="K89" i="14"/>
  <c r="I31" i="14"/>
  <c r="AU54" i="14"/>
  <c r="AS108" i="14"/>
  <c r="AD72" i="14"/>
  <c r="F21" i="16"/>
  <c r="AK110" i="14"/>
  <c r="H21" i="14"/>
  <c r="AD40" i="14"/>
  <c r="D110" i="14"/>
  <c r="AD31" i="14"/>
  <c r="E108" i="14"/>
  <c r="AT33" i="14"/>
  <c r="AN79" i="14"/>
  <c r="C62" i="16"/>
  <c r="C87" i="16"/>
  <c r="AF23" i="14"/>
  <c r="E26" i="6"/>
  <c r="F18" i="6"/>
  <c r="X20" i="7"/>
  <c r="Z21" i="1"/>
  <c r="G39" i="14"/>
  <c r="F98" i="16"/>
  <c r="AD39" i="14"/>
  <c r="E100" i="14"/>
  <c r="C109" i="14"/>
  <c r="K109" i="14"/>
  <c r="AS105" i="14"/>
  <c r="AT50" i="14"/>
  <c r="I39" i="14"/>
  <c r="F39" i="14"/>
  <c r="AR12" i="14"/>
  <c r="AQ100" i="14"/>
  <c r="AQ25" i="14"/>
  <c r="C77" i="14"/>
  <c r="G92" i="14"/>
  <c r="F77" i="16"/>
  <c r="I53" i="14"/>
  <c r="D53" i="14"/>
  <c r="D23" i="6"/>
  <c r="I23" i="6"/>
  <c r="R15" i="1"/>
  <c r="AC19" i="1"/>
  <c r="F25" i="16"/>
  <c r="C100" i="14"/>
  <c r="H67" i="14"/>
  <c r="AK100" i="14"/>
  <c r="AM27" i="14"/>
  <c r="K27" i="14"/>
  <c r="AD100" i="14"/>
  <c r="C67" i="14"/>
  <c r="AO105" i="14"/>
  <c r="E109" i="14"/>
  <c r="AM20" i="14"/>
  <c r="F44" i="16"/>
  <c r="AO92" i="14"/>
  <c r="K77" i="14"/>
  <c r="F89" i="16"/>
  <c r="AP29" i="14"/>
  <c r="G85" i="16"/>
  <c r="AB41" i="14"/>
  <c r="AF84" i="14"/>
  <c r="G76" i="16"/>
  <c r="H33" i="16"/>
  <c r="I87" i="14"/>
  <c r="AT48" i="14"/>
  <c r="AL92" i="14"/>
  <c r="H25" i="14"/>
  <c r="AD52" i="14"/>
  <c r="I46" i="14"/>
  <c r="AR20" i="14"/>
  <c r="AR52" i="14"/>
  <c r="AQ91" i="14"/>
  <c r="AQ52" i="14"/>
  <c r="C52" i="14"/>
  <c r="AF107" i="14"/>
  <c r="AT90" i="14"/>
  <c r="AU77" i="14"/>
  <c r="AU91" i="14"/>
  <c r="D27" i="16"/>
  <c r="C76" i="16"/>
  <c r="C88" i="14"/>
  <c r="D29" i="14"/>
  <c r="C85" i="16"/>
  <c r="D48" i="14"/>
  <c r="H27" i="14"/>
  <c r="C58" i="14"/>
  <c r="K12" i="14"/>
  <c r="E12" i="14"/>
  <c r="AS109" i="14"/>
  <c r="AM12" i="14"/>
  <c r="AR100" i="14"/>
  <c r="H93" i="14"/>
  <c r="F58" i="14"/>
  <c r="AQ67" i="14"/>
  <c r="AS100" i="14"/>
  <c r="E93" i="14"/>
  <c r="I12" i="14"/>
  <c r="D58" i="14"/>
  <c r="AO27" i="14"/>
  <c r="AS50" i="14"/>
  <c r="AS93" i="14"/>
  <c r="AO39" i="14"/>
  <c r="AU67" i="14"/>
  <c r="X17" i="6"/>
  <c r="F96" i="16"/>
  <c r="AS20" i="14"/>
  <c r="AT77" i="14"/>
  <c r="AB107" i="14"/>
  <c r="I20" i="14"/>
  <c r="AK46" i="14"/>
  <c r="F77" i="14"/>
  <c r="AL20" i="14"/>
  <c r="AD107" i="14"/>
  <c r="AL107" i="14"/>
  <c r="H88" i="16"/>
  <c r="D107" i="14"/>
  <c r="H92" i="14"/>
  <c r="AN51" i="14"/>
  <c r="AU84" i="14"/>
  <c r="AL88" i="14"/>
  <c r="AT35" i="14"/>
  <c r="H105" i="16"/>
  <c r="AU52" i="14"/>
  <c r="AS77" i="14"/>
  <c r="G98" i="14"/>
  <c r="C75" i="16"/>
  <c r="D46" i="14"/>
  <c r="AR77" i="14"/>
  <c r="G47" i="14"/>
  <c r="F92" i="14"/>
  <c r="AB98" i="14"/>
  <c r="H45" i="16"/>
  <c r="I52" i="14"/>
  <c r="G96" i="16"/>
  <c r="AT91" i="14"/>
  <c r="G35" i="14"/>
  <c r="AF29" i="14"/>
  <c r="D84" i="14"/>
  <c r="C78" i="14"/>
  <c r="H41" i="14"/>
  <c r="AL35" i="14"/>
  <c r="AT41" i="14"/>
  <c r="C107" i="16"/>
  <c r="I50" i="14"/>
  <c r="Y25" i="6"/>
  <c r="AP47" i="14"/>
  <c r="H50" i="16"/>
  <c r="F23" i="16"/>
  <c r="AK90" i="14"/>
  <c r="AB25" i="14"/>
  <c r="AF20" i="14"/>
  <c r="AL98" i="14"/>
  <c r="AT20" i="14"/>
  <c r="G84" i="14"/>
  <c r="AL78" i="14"/>
  <c r="AL25" i="14"/>
  <c r="AS92" i="14"/>
  <c r="AP25" i="14"/>
  <c r="AP52" i="14"/>
  <c r="F47" i="14"/>
  <c r="AK52" i="14"/>
  <c r="AP91" i="14"/>
  <c r="C91" i="14"/>
  <c r="E107" i="14"/>
  <c r="F90" i="14"/>
  <c r="H91" i="14"/>
  <c r="AS41" i="14"/>
  <c r="G86" i="16"/>
  <c r="H49" i="16"/>
  <c r="AO88" i="14"/>
  <c r="G82" i="16"/>
  <c r="AM41" i="14"/>
  <c r="AF88" i="14"/>
  <c r="AK48" i="14"/>
  <c r="AF39" i="14"/>
  <c r="AP109" i="14"/>
  <c r="G103" i="16"/>
  <c r="AO100" i="14"/>
  <c r="E50" i="14"/>
  <c r="AO58" i="14"/>
  <c r="C93" i="14"/>
  <c r="AU50" i="14"/>
  <c r="AB50" i="14"/>
  <c r="AL100" i="14"/>
  <c r="I105" i="14"/>
  <c r="D109" i="14"/>
  <c r="AN39" i="14"/>
  <c r="AL91" i="14"/>
  <c r="AT46" i="14"/>
  <c r="AU107" i="14"/>
  <c r="K52" i="14"/>
  <c r="F52" i="14"/>
  <c r="AB52" i="14"/>
  <c r="AO20" i="14"/>
  <c r="AK91" i="14"/>
  <c r="AP98" i="14"/>
  <c r="AQ46" i="14"/>
  <c r="I25" i="14"/>
  <c r="AR47" i="14"/>
  <c r="E47" i="14"/>
  <c r="K107" i="14"/>
  <c r="AB90" i="14"/>
  <c r="F82" i="16"/>
  <c r="G29" i="14"/>
  <c r="H48" i="14"/>
  <c r="I84" i="14"/>
  <c r="AN15" i="1"/>
  <c r="AL93" i="14"/>
  <c r="I93" i="14"/>
  <c r="AD58" i="14"/>
  <c r="D25" i="16"/>
  <c r="AD50" i="14"/>
  <c r="AF12" i="14"/>
  <c r="Y13" i="6"/>
  <c r="X24" i="6"/>
  <c r="AU25" i="14"/>
  <c r="F105" i="16"/>
  <c r="AS98" i="14"/>
  <c r="D92" i="14"/>
  <c r="AD77" i="14"/>
  <c r="K92" i="14"/>
  <c r="AS90" i="14"/>
  <c r="AT25" i="14"/>
  <c r="AO52" i="14"/>
  <c r="AO91" i="14"/>
  <c r="AL77" i="14"/>
  <c r="G20" i="14"/>
  <c r="AS25" i="14"/>
  <c r="AD20" i="14"/>
  <c r="C88" i="16"/>
  <c r="AR29" i="14"/>
  <c r="AM80" i="14"/>
  <c r="AK41" i="14"/>
  <c r="AP78" i="14"/>
  <c r="C78" i="16"/>
  <c r="AR88" i="14"/>
  <c r="C35" i="14"/>
  <c r="AN21" i="1"/>
  <c r="AN90" i="14"/>
  <c r="AB91" i="14"/>
  <c r="H18" i="16"/>
  <c r="AP48" i="14"/>
  <c r="AT84" i="14"/>
  <c r="AP51" i="14"/>
  <c r="K87" i="14"/>
  <c r="I109" i="14"/>
  <c r="E27" i="14"/>
  <c r="H103" i="16"/>
  <c r="G58" i="14"/>
  <c r="AU58" i="14"/>
  <c r="AF50" i="14"/>
  <c r="X13" i="6"/>
  <c r="X12" i="6"/>
  <c r="G77" i="14"/>
  <c r="AT92" i="14"/>
  <c r="G90" i="16"/>
  <c r="F45" i="16"/>
  <c r="D44" i="16"/>
  <c r="AS91" i="14"/>
  <c r="H77" i="14"/>
  <c r="AN98" i="14"/>
  <c r="AF90" i="14"/>
  <c r="AF77" i="14"/>
  <c r="I77" i="14"/>
  <c r="AB92" i="14"/>
  <c r="AS78" i="14"/>
  <c r="G27" i="16"/>
  <c r="AD35" i="14"/>
  <c r="AO87" i="14"/>
  <c r="AD41" i="14"/>
  <c r="AB80" i="14"/>
  <c r="AE11" i="4"/>
  <c r="AB110" i="14"/>
  <c r="AQ55" i="14"/>
  <c r="G38" i="14"/>
  <c r="E33" i="14"/>
  <c r="AC18" i="1"/>
  <c r="AC20" i="1"/>
  <c r="S20" i="1"/>
  <c r="H109" i="14"/>
  <c r="AS67" i="14"/>
  <c r="AT39" i="14"/>
  <c r="D12" i="14"/>
  <c r="C91" i="16"/>
  <c r="G50" i="14"/>
  <c r="AR58" i="14"/>
  <c r="AT27" i="14"/>
  <c r="AP100" i="14"/>
  <c r="AB12" i="14"/>
  <c r="I27" i="14"/>
  <c r="AR93" i="14"/>
  <c r="K39" i="14"/>
  <c r="AN12" i="14"/>
  <c r="D56" i="16"/>
  <c r="AN58" i="14"/>
  <c r="AQ12" i="14"/>
  <c r="F100" i="14"/>
  <c r="E39" i="14"/>
  <c r="G37" i="16"/>
  <c r="AT12" i="14"/>
  <c r="AM39" i="14"/>
  <c r="C50" i="14"/>
  <c r="H91" i="16"/>
  <c r="AL67" i="14"/>
  <c r="AP93" i="14"/>
  <c r="K20" i="14"/>
  <c r="D47" i="14"/>
  <c r="AL46" i="14"/>
  <c r="G88" i="16"/>
  <c r="H44" i="16"/>
  <c r="AN52" i="14"/>
  <c r="AM90" i="14"/>
  <c r="G105" i="16"/>
  <c r="D98" i="14"/>
  <c r="G44" i="16"/>
  <c r="K90" i="14"/>
  <c r="C107" i="14"/>
  <c r="D90" i="14"/>
  <c r="AD78" i="14"/>
  <c r="C39" i="16"/>
  <c r="H85" i="16"/>
  <c r="F46" i="16"/>
  <c r="AR80" i="14"/>
  <c r="AR51" i="14"/>
  <c r="D85" i="16"/>
  <c r="AR50" i="14"/>
  <c r="H65" i="16"/>
  <c r="AR109" i="14"/>
  <c r="F105" i="14"/>
  <c r="G67" i="14"/>
  <c r="AR39" i="14"/>
  <c r="X26" i="6"/>
  <c r="Y24" i="6"/>
  <c r="AK92" i="14"/>
  <c r="AT98" i="14"/>
  <c r="H47" i="14"/>
  <c r="H107" i="14"/>
  <c r="AN46" i="14"/>
  <c r="AF91" i="14"/>
  <c r="AM52" i="14"/>
  <c r="D52" i="14"/>
  <c r="AO77" i="14"/>
  <c r="G23" i="16"/>
  <c r="AU78" i="14"/>
  <c r="AO35" i="14"/>
  <c r="D49" i="16"/>
  <c r="AT87" i="14"/>
  <c r="G80" i="14"/>
  <c r="AR35" i="14"/>
  <c r="H84" i="14"/>
  <c r="AS48" i="14"/>
  <c r="AR27" i="14"/>
  <c r="H58" i="14"/>
  <c r="AO12" i="14"/>
  <c r="G105" i="14"/>
  <c r="AM93" i="14"/>
  <c r="AB100" i="14"/>
  <c r="H25" i="16"/>
  <c r="E58" i="14"/>
  <c r="AM100" i="14"/>
  <c r="C27" i="14"/>
  <c r="D103" i="16"/>
  <c r="C37" i="16"/>
  <c r="G98" i="16"/>
  <c r="I100" i="14"/>
  <c r="F93" i="14"/>
  <c r="G56" i="16"/>
  <c r="AU105" i="14"/>
  <c r="C105" i="14"/>
  <c r="D89" i="16"/>
  <c r="G90" i="14"/>
  <c r="C25" i="14"/>
  <c r="AO47" i="14"/>
  <c r="G89" i="16"/>
  <c r="F46" i="14"/>
  <c r="AF98" i="14"/>
  <c r="AM91" i="14"/>
  <c r="AP46" i="14"/>
  <c r="I98" i="14"/>
  <c r="H46" i="14"/>
  <c r="G75" i="16"/>
  <c r="D25" i="14"/>
  <c r="D41" i="14"/>
  <c r="AR87" i="14"/>
  <c r="E78" i="14"/>
  <c r="AK80" i="14"/>
  <c r="AM87" i="14"/>
  <c r="F76" i="16"/>
  <c r="AB29" i="14"/>
  <c r="F84" i="14"/>
  <c r="D76" i="16"/>
  <c r="AS51" i="14"/>
  <c r="AF80" i="14"/>
  <c r="H88" i="14"/>
  <c r="AL51" i="14"/>
  <c r="K48" i="14"/>
  <c r="C48" i="14"/>
  <c r="AO80" i="14"/>
  <c r="F78" i="14"/>
  <c r="D35" i="14"/>
  <c r="C82" i="16"/>
  <c r="AL48" i="14"/>
  <c r="C56" i="16"/>
  <c r="G10" i="16"/>
  <c r="AF109" i="14"/>
  <c r="AO109" i="14"/>
  <c r="AF27" i="14"/>
  <c r="X25" i="6"/>
  <c r="Y18" i="6"/>
  <c r="AD98" i="14"/>
  <c r="E91" i="14"/>
  <c r="G91" i="14"/>
  <c r="K98" i="14"/>
  <c r="F90" i="16"/>
  <c r="AM77" i="14"/>
  <c r="C44" i="16"/>
  <c r="AM25" i="14"/>
  <c r="E46" i="14"/>
  <c r="AP107" i="14"/>
  <c r="H90" i="16"/>
  <c r="E98" i="14"/>
  <c r="AN92" i="14"/>
  <c r="AO90" i="14"/>
  <c r="AQ107" i="14"/>
  <c r="AN91" i="14"/>
  <c r="D105" i="16"/>
  <c r="AN84" i="14"/>
  <c r="AQ87" i="14"/>
  <c r="AK29" i="14"/>
  <c r="K80" i="14"/>
  <c r="G49" i="16"/>
  <c r="G48" i="14"/>
  <c r="F39" i="16"/>
  <c r="AB87" i="14"/>
  <c r="AQ29" i="14"/>
  <c r="AT88" i="14"/>
  <c r="AK78" i="14"/>
  <c r="AP87" i="14"/>
  <c r="AT29" i="14"/>
  <c r="D23" i="16"/>
  <c r="I47" i="14"/>
  <c r="AF25" i="14"/>
  <c r="G18" i="16"/>
  <c r="AN25" i="14"/>
  <c r="AO25" i="14"/>
  <c r="G50" i="16"/>
  <c r="AF46" i="14"/>
  <c r="AP77" i="14"/>
  <c r="AR107" i="14"/>
  <c r="E92" i="14"/>
  <c r="AO98" i="14"/>
  <c r="AD91" i="14"/>
  <c r="I91" i="14"/>
  <c r="AN107" i="14"/>
  <c r="AU92" i="14"/>
  <c r="AP92" i="14"/>
  <c r="AL41" i="14"/>
  <c r="AS84" i="14"/>
  <c r="AO48" i="14"/>
  <c r="AU41" i="14"/>
  <c r="D82" i="16"/>
  <c r="AR78" i="14"/>
  <c r="AN48" i="14"/>
  <c r="F35" i="14"/>
  <c r="C80" i="14"/>
  <c r="AM78" i="14"/>
  <c r="AQ35" i="14"/>
  <c r="AL87" i="14"/>
  <c r="AF41" i="14"/>
  <c r="D87" i="14"/>
  <c r="C84" i="14"/>
  <c r="AQ41" i="14"/>
  <c r="C41" i="14"/>
  <c r="AQ80" i="14"/>
  <c r="K41" i="14"/>
  <c r="C49" i="16"/>
  <c r="F78" i="16"/>
  <c r="I41" i="14"/>
  <c r="G78" i="14"/>
  <c r="AQ51" i="14"/>
  <c r="AK35" i="14"/>
  <c r="AN29" i="14"/>
  <c r="G52" i="14"/>
  <c r="AR25" i="14"/>
  <c r="C90" i="14"/>
  <c r="AU46" i="14"/>
  <c r="C50" i="16"/>
  <c r="D45" i="16"/>
  <c r="G45" i="16"/>
  <c r="AR46" i="14"/>
  <c r="C23" i="16"/>
  <c r="H90" i="14"/>
  <c r="AD92" i="14"/>
  <c r="AD46" i="14"/>
  <c r="AP80" i="14"/>
  <c r="AU35" i="14"/>
  <c r="AK51" i="14"/>
  <c r="AF35" i="14"/>
  <c r="E84" i="14"/>
  <c r="AM88" i="14"/>
  <c r="AD80" i="14"/>
  <c r="H78" i="14"/>
  <c r="H86" i="16"/>
  <c r="AP88" i="14"/>
  <c r="AU80" i="14"/>
  <c r="AS35" i="14"/>
  <c r="F27" i="16"/>
  <c r="AL84" i="14"/>
  <c r="AD87" i="14"/>
  <c r="I35" i="14"/>
  <c r="AF51" i="14"/>
  <c r="I48" i="14"/>
  <c r="AO15" i="1"/>
  <c r="AD11" i="4"/>
  <c r="AB84" i="14"/>
  <c r="AN41" i="14"/>
  <c r="AF48" i="14"/>
  <c r="F51" i="14"/>
  <c r="E51" i="14"/>
  <c r="D78" i="14"/>
  <c r="D51" i="14"/>
  <c r="AD88" i="14"/>
  <c r="AH88" i="14" s="1"/>
  <c r="AF78" i="14"/>
  <c r="AN78" i="14"/>
  <c r="AM84" i="14"/>
  <c r="D86" i="16"/>
  <c r="C86" i="16"/>
  <c r="AL29" i="14"/>
  <c r="AR48" i="14"/>
  <c r="G46" i="16"/>
  <c r="AU29" i="14"/>
  <c r="AD51" i="14"/>
  <c r="AP35" i="14"/>
  <c r="H78" i="16"/>
  <c r="AQ84" i="14"/>
  <c r="AK88" i="14"/>
  <c r="K35" i="14"/>
  <c r="AM51" i="14"/>
  <c r="D78" i="16"/>
  <c r="E88" i="14"/>
  <c r="H89" i="16"/>
  <c r="AO107" i="14"/>
  <c r="AL52" i="14"/>
  <c r="C89" i="16"/>
  <c r="K51" i="14"/>
  <c r="AK87" i="14"/>
  <c r="F87" i="14"/>
  <c r="E29" i="14"/>
  <c r="AP84" i="14"/>
  <c r="I80" i="14"/>
  <c r="I51" i="14"/>
  <c r="I29" i="14"/>
  <c r="D39" i="16"/>
  <c r="G78" i="16"/>
  <c r="H46" i="16"/>
  <c r="F49" i="16"/>
  <c r="AN88" i="14"/>
  <c r="AD84" i="14"/>
  <c r="C87" i="14"/>
  <c r="K78" i="14"/>
  <c r="AL80" i="14"/>
  <c r="H87" i="14"/>
  <c r="E87" i="14"/>
  <c r="D88" i="14"/>
  <c r="AO84" i="14"/>
  <c r="AT51" i="14"/>
  <c r="AO18" i="1"/>
  <c r="U11" i="4"/>
  <c r="D46" i="16"/>
  <c r="H27" i="16"/>
  <c r="F80" i="14"/>
  <c r="AQ48" i="14"/>
  <c r="AQ78" i="14"/>
  <c r="G87" i="14"/>
  <c r="H80" i="14"/>
  <c r="E80" i="14"/>
  <c r="AO41" i="14"/>
  <c r="D33" i="16"/>
  <c r="E41" i="14"/>
  <c r="I78" i="14"/>
  <c r="F48" i="14"/>
  <c r="AR84" i="14"/>
  <c r="AD48" i="14"/>
  <c r="AH48" i="14" s="1"/>
  <c r="AU88" i="14"/>
  <c r="AS87" i="14"/>
  <c r="AU51" i="14"/>
  <c r="AS29" i="14"/>
  <c r="G33" i="16"/>
  <c r="AP41" i="14"/>
  <c r="K88" i="14"/>
  <c r="F33" i="16"/>
  <c r="AB35" i="14"/>
  <c r="AO21" i="1"/>
  <c r="AP12" i="14"/>
  <c r="Y11" i="6"/>
  <c r="X18" i="6"/>
  <c r="D88" i="16"/>
  <c r="K46" i="14"/>
  <c r="AL90" i="14"/>
  <c r="F50" i="16"/>
  <c r="C92" i="14"/>
  <c r="G46" i="14"/>
  <c r="AP20" i="14"/>
  <c r="E52" i="14"/>
  <c r="AQ92" i="14"/>
  <c r="G25" i="14"/>
  <c r="AS107" i="14"/>
  <c r="C20" i="14"/>
  <c r="AN77" i="14"/>
  <c r="AD25" i="14"/>
  <c r="AK107" i="14"/>
  <c r="AU90" i="14"/>
  <c r="AF52" i="14"/>
  <c r="AO51" i="14"/>
  <c r="AK84" i="14"/>
  <c r="AO78" i="14"/>
  <c r="H82" i="16"/>
  <c r="G51" i="14"/>
  <c r="AN87" i="14"/>
  <c r="E48" i="14"/>
  <c r="F29" i="14"/>
  <c r="AQ88" i="14"/>
  <c r="H51" i="14"/>
  <c r="G39" i="16"/>
  <c r="H76" i="16"/>
  <c r="C33" i="16"/>
  <c r="I88" i="14"/>
  <c r="C46" i="14"/>
  <c r="AU47" i="14"/>
  <c r="F98" i="14"/>
  <c r="C90" i="16"/>
  <c r="AR98" i="14"/>
  <c r="AK20" i="14"/>
  <c r="AB46" i="14"/>
  <c r="AU98" i="14"/>
  <c r="AR92" i="14"/>
  <c r="AL47" i="14"/>
  <c r="AO46" i="14"/>
  <c r="AP90" i="14"/>
  <c r="E77" i="14"/>
  <c r="AQ47" i="14"/>
  <c r="F25" i="14"/>
  <c r="K91" i="14"/>
  <c r="F91" i="14"/>
  <c r="AR91" i="14"/>
  <c r="F20" i="14"/>
  <c r="AB77" i="14"/>
  <c r="D91" i="14"/>
  <c r="AM48" i="14"/>
  <c r="AS88" i="14"/>
  <c r="AN35" i="14"/>
  <c r="AS80" i="14"/>
  <c r="D80" i="14"/>
  <c r="C51" i="14"/>
  <c r="C29" i="14"/>
  <c r="E35" i="14"/>
  <c r="AF87" i="14"/>
  <c r="AT78" i="14"/>
  <c r="AM29" i="14"/>
  <c r="AR41" i="14"/>
  <c r="F86" i="16"/>
  <c r="AB48" i="14"/>
  <c r="AB88" i="14"/>
  <c r="AU48" i="14"/>
  <c r="AO29" i="14"/>
  <c r="G41" i="14"/>
  <c r="AT80" i="14"/>
  <c r="H39" i="16"/>
  <c r="C46" i="16"/>
  <c r="AU87" i="14"/>
  <c r="AN18" i="1"/>
  <c r="AS94" i="14"/>
  <c r="K99" i="14"/>
  <c r="AT71" i="14"/>
  <c r="AT104" i="14"/>
  <c r="K44" i="14"/>
  <c r="AL44" i="14"/>
  <c r="AK15" i="14"/>
  <c r="AM28" i="14"/>
  <c r="G15" i="14"/>
  <c r="D104" i="16"/>
  <c r="AF94" i="14"/>
  <c r="AS15" i="14"/>
  <c r="AM99" i="14"/>
  <c r="AO101" i="14"/>
  <c r="AU99" i="14"/>
  <c r="G44" i="14"/>
  <c r="G26" i="16"/>
  <c r="AK85" i="14"/>
  <c r="AL104" i="14"/>
  <c r="AP94" i="14"/>
  <c r="C97" i="16"/>
  <c r="G21" i="6"/>
  <c r="AU85" i="14"/>
  <c r="AP28" i="14"/>
  <c r="F101" i="14"/>
  <c r="D44" i="14"/>
  <c r="AK104" i="14"/>
  <c r="H83" i="16"/>
  <c r="AS106" i="14"/>
  <c r="AS28" i="14"/>
  <c r="AD101" i="14"/>
  <c r="K106" i="14"/>
  <c r="F15" i="6"/>
  <c r="H15" i="14"/>
  <c r="AF15" i="14"/>
  <c r="H28" i="14"/>
  <c r="H92" i="16"/>
  <c r="G99" i="14"/>
  <c r="C99" i="16"/>
  <c r="F94" i="14"/>
  <c r="AT85" i="14"/>
  <c r="AO44" i="14"/>
  <c r="K85" i="14"/>
  <c r="AD85" i="14"/>
  <c r="AK71" i="14"/>
  <c r="AR106" i="14"/>
  <c r="AM44" i="14"/>
  <c r="G42" i="16"/>
  <c r="H42" i="16"/>
  <c r="C99" i="14"/>
  <c r="G28" i="14"/>
  <c r="AR99" i="14"/>
  <c r="C69" i="16"/>
  <c r="AM104" i="14"/>
  <c r="AL101" i="14"/>
  <c r="AR28" i="14"/>
  <c r="AF99" i="14"/>
  <c r="G22" i="6"/>
  <c r="AN81" i="14"/>
  <c r="C15" i="16"/>
  <c r="C35" i="16"/>
  <c r="F63" i="14"/>
  <c r="D30" i="14"/>
  <c r="AK99" i="14"/>
  <c r="AL71" i="14"/>
  <c r="K15" i="14"/>
  <c r="D24" i="6"/>
  <c r="H79" i="16"/>
  <c r="K69" i="14"/>
  <c r="F69" i="14"/>
  <c r="K95" i="14"/>
  <c r="C95" i="14"/>
  <c r="D61" i="16"/>
  <c r="H13" i="16"/>
  <c r="E94" i="14"/>
  <c r="D26" i="16"/>
  <c r="AK101" i="14"/>
  <c r="AN85" i="14"/>
  <c r="AB71" i="14"/>
  <c r="AQ101" i="14"/>
  <c r="AU106" i="14"/>
  <c r="AM85" i="14"/>
  <c r="AO104" i="14"/>
  <c r="AT99" i="14"/>
  <c r="D71" i="14"/>
  <c r="G92" i="16"/>
  <c r="AU15" i="14"/>
  <c r="H104" i="14"/>
  <c r="AD15" i="14"/>
  <c r="AT106" i="14"/>
  <c r="I15" i="6"/>
  <c r="D15" i="6"/>
  <c r="AO36" i="14"/>
  <c r="F15" i="16"/>
  <c r="AT30" i="14"/>
  <c r="I36" i="14"/>
  <c r="AD69" i="14"/>
  <c r="AN106" i="14"/>
  <c r="AM15" i="14"/>
  <c r="AB15" i="14"/>
  <c r="AT44" i="14"/>
  <c r="AD106" i="14"/>
  <c r="AL94" i="14"/>
  <c r="G69" i="16"/>
  <c r="F44" i="14"/>
  <c r="AK94" i="14"/>
  <c r="AQ15" i="14"/>
  <c r="AT94" i="14"/>
  <c r="AQ94" i="14"/>
  <c r="AN44" i="14"/>
  <c r="AU94" i="14"/>
  <c r="H69" i="16"/>
  <c r="AP106" i="14"/>
  <c r="AS104" i="14"/>
  <c r="AR101" i="14"/>
  <c r="H106" i="14"/>
  <c r="F15" i="14"/>
  <c r="G104" i="16"/>
  <c r="AD104" i="14"/>
  <c r="AO85" i="14"/>
  <c r="K71" i="14"/>
  <c r="C101" i="14"/>
  <c r="I104" i="14"/>
  <c r="E28" i="14"/>
  <c r="C15" i="14"/>
  <c r="AR94" i="14"/>
  <c r="AP15" i="14"/>
  <c r="AK44" i="14"/>
  <c r="H102" i="16"/>
  <c r="AU63" i="14"/>
  <c r="D95" i="14"/>
  <c r="AK17" i="14"/>
  <c r="AR66" i="14"/>
  <c r="F71" i="14"/>
  <c r="C106" i="14"/>
  <c r="D42" i="16"/>
  <c r="D99" i="16"/>
  <c r="F97" i="16"/>
  <c r="AU28" i="14"/>
  <c r="H26" i="16"/>
  <c r="AQ99" i="14"/>
  <c r="AQ106" i="14"/>
  <c r="AN101" i="14"/>
  <c r="I44" i="14"/>
  <c r="AL15" i="14"/>
  <c r="AF28" i="14"/>
  <c r="F24" i="6"/>
  <c r="E22" i="6"/>
  <c r="D22" i="6"/>
  <c r="G35" i="16"/>
  <c r="C61" i="16"/>
  <c r="H36" i="14"/>
  <c r="D43" i="16"/>
  <c r="F64" i="16"/>
  <c r="AD37" i="14"/>
  <c r="AB101" i="14"/>
  <c r="F69" i="16"/>
  <c r="G99" i="16"/>
  <c r="AQ44" i="14"/>
  <c r="F28" i="14"/>
  <c r="I101" i="14"/>
  <c r="AO106" i="14"/>
  <c r="I99" i="14"/>
  <c r="I15" i="14"/>
  <c r="F104" i="14"/>
  <c r="D13" i="16"/>
  <c r="G15" i="6"/>
  <c r="I19" i="6"/>
  <c r="AQ45" i="14"/>
  <c r="D63" i="14"/>
  <c r="AU81" i="14"/>
  <c r="AQ69" i="14"/>
  <c r="C42" i="16"/>
  <c r="AF85" i="14"/>
  <c r="G13" i="16"/>
  <c r="AD99" i="14"/>
  <c r="AN94" i="14"/>
  <c r="AL85" i="14"/>
  <c r="AS101" i="14"/>
  <c r="E44" i="14"/>
  <c r="E101" i="14"/>
  <c r="AB99" i="14"/>
  <c r="F99" i="16"/>
  <c r="E71" i="14"/>
  <c r="AM106" i="14"/>
  <c r="I71" i="14"/>
  <c r="AB104" i="14"/>
  <c r="K104" i="14"/>
  <c r="AB106" i="14"/>
  <c r="H101" i="14"/>
  <c r="AF71" i="14"/>
  <c r="K94" i="14"/>
  <c r="E15" i="14"/>
  <c r="C102" i="16"/>
  <c r="E20" i="6"/>
  <c r="AN69" i="14"/>
  <c r="AO69" i="14"/>
  <c r="K37" i="14"/>
  <c r="AF63" i="14"/>
  <c r="D81" i="14"/>
  <c r="D34" i="16"/>
  <c r="AN66" i="14"/>
  <c r="AU30" i="14"/>
  <c r="AD45" i="14"/>
  <c r="K101" i="14"/>
  <c r="D102" i="16"/>
  <c r="F102" i="16"/>
  <c r="G97" i="16"/>
  <c r="AP71" i="14"/>
  <c r="C104" i="16"/>
  <c r="AK28" i="14"/>
  <c r="F42" i="16"/>
  <c r="C13" i="16"/>
  <c r="AR71" i="14"/>
  <c r="AO71" i="14"/>
  <c r="AU37" i="14"/>
  <c r="AQ95" i="14"/>
  <c r="F28" i="16"/>
  <c r="AN37" i="14"/>
  <c r="H15" i="16"/>
  <c r="AD71" i="14"/>
  <c r="H97" i="16"/>
  <c r="G71" i="14"/>
  <c r="AN71" i="14"/>
  <c r="AQ104" i="14"/>
  <c r="D83" i="16"/>
  <c r="AO28" i="14"/>
  <c r="C71" i="14"/>
  <c r="G104" i="14"/>
  <c r="D25" i="6"/>
  <c r="I20" i="6"/>
  <c r="AR63" i="14"/>
  <c r="G15" i="16"/>
  <c r="H85" i="14"/>
  <c r="H104" i="16"/>
  <c r="AD44" i="14"/>
  <c r="G106" i="14"/>
  <c r="E104" i="14"/>
  <c r="AL106" i="14"/>
  <c r="F106" i="14"/>
  <c r="C26" i="16"/>
  <c r="D106" i="14"/>
  <c r="AB44" i="14"/>
  <c r="AR44" i="14"/>
  <c r="D97" i="16"/>
  <c r="AR104" i="14"/>
  <c r="AD28" i="14"/>
  <c r="I106" i="14"/>
  <c r="F13" i="6"/>
  <c r="G24" i="6"/>
  <c r="AT37" i="14"/>
  <c r="AN63" i="14"/>
  <c r="AK30" i="14"/>
  <c r="AP81" i="14"/>
  <c r="D35" i="16"/>
  <c r="I17" i="14"/>
  <c r="E30" i="14"/>
  <c r="AQ71" i="14"/>
  <c r="C28" i="14"/>
  <c r="AP99" i="14"/>
  <c r="D28" i="14"/>
  <c r="F13" i="16"/>
  <c r="H99" i="16"/>
  <c r="AB28" i="14"/>
  <c r="AD94" i="14"/>
  <c r="E85" i="14"/>
  <c r="AS99" i="14"/>
  <c r="C85" i="14"/>
  <c r="I17" i="6"/>
  <c r="H43" i="16"/>
  <c r="E37" i="14"/>
  <c r="AM17" i="14"/>
  <c r="AT17" i="14"/>
  <c r="AN99" i="14"/>
  <c r="G83" i="16"/>
  <c r="H99" i="14"/>
  <c r="H94" i="14"/>
  <c r="G102" i="16"/>
  <c r="AQ85" i="14"/>
  <c r="AO15" i="14"/>
  <c r="C104" i="14"/>
  <c r="D85" i="14"/>
  <c r="I28" i="14"/>
  <c r="F22" i="6"/>
  <c r="C64" i="16"/>
  <c r="AM36" i="14"/>
  <c r="AM95" i="14"/>
  <c r="AB63" i="14"/>
  <c r="AD81" i="14"/>
  <c r="AF104" i="14"/>
  <c r="F20" i="6"/>
  <c r="D66" i="14"/>
  <c r="AS17" i="14"/>
  <c r="AT45" i="14"/>
  <c r="G79" i="16"/>
  <c r="F79" i="16"/>
  <c r="D67" i="16"/>
  <c r="AP36" i="14"/>
  <c r="AS37" i="14"/>
  <c r="E14" i="6"/>
  <c r="I25" i="6"/>
  <c r="AQ17" i="14"/>
  <c r="AT95" i="14"/>
  <c r="H28" i="16"/>
  <c r="H30" i="14"/>
  <c r="I45" i="14"/>
  <c r="G64" i="16"/>
  <c r="AP85" i="14"/>
  <c r="AM94" i="14"/>
  <c r="AS85" i="14"/>
  <c r="AF44" i="14"/>
  <c r="G85" i="14"/>
  <c r="AQ28" i="14"/>
  <c r="AM101" i="14"/>
  <c r="AO94" i="14"/>
  <c r="AU71" i="14"/>
  <c r="AU101" i="14"/>
  <c r="C44" i="14"/>
  <c r="AN15" i="14"/>
  <c r="D92" i="16"/>
  <c r="E106" i="14"/>
  <c r="AR15" i="14"/>
  <c r="I94" i="14"/>
  <c r="AN104" i="14"/>
  <c r="K28" i="14"/>
  <c r="AL99" i="14"/>
  <c r="H71" i="14"/>
  <c r="AS71" i="14"/>
  <c r="E15" i="6"/>
  <c r="G14" i="6"/>
  <c r="F30" i="14"/>
  <c r="AR95" i="14"/>
  <c r="AK37" i="14"/>
  <c r="AL66" i="14"/>
  <c r="AN17" i="14"/>
  <c r="H61" i="16"/>
  <c r="AR85" i="14"/>
  <c r="AP104" i="14"/>
  <c r="AO99" i="14"/>
  <c r="D101" i="14"/>
  <c r="E99" i="14"/>
  <c r="C94" i="14"/>
  <c r="AU44" i="14"/>
  <c r="AL28" i="14"/>
  <c r="C92" i="16"/>
  <c r="D104" i="14"/>
  <c r="I22" i="6"/>
  <c r="G19" i="6"/>
  <c r="E13" i="6"/>
  <c r="D21" i="6"/>
  <c r="I21" i="6"/>
  <c r="E21" i="6"/>
  <c r="E25" i="6"/>
  <c r="E66" i="14"/>
  <c r="AF30" i="14"/>
  <c r="G69" i="14"/>
  <c r="AK66" i="14"/>
  <c r="AK95" i="14"/>
  <c r="AR81" i="14"/>
  <c r="D79" i="16"/>
  <c r="AP95" i="14"/>
  <c r="I95" i="14"/>
  <c r="H34" i="16"/>
  <c r="AQ36" i="14"/>
  <c r="C81" i="14"/>
  <c r="D69" i="14"/>
  <c r="AL17" i="14"/>
  <c r="AK36" i="14"/>
  <c r="AT36" i="14"/>
  <c r="I69" i="14"/>
  <c r="D93" i="16"/>
  <c r="H93" i="16"/>
  <c r="K81" i="14"/>
  <c r="AO45" i="14"/>
  <c r="D37" i="14"/>
  <c r="I66" i="14"/>
  <c r="AM30" i="14"/>
  <c r="AL95" i="14"/>
  <c r="I37" i="14"/>
  <c r="K17" i="14"/>
  <c r="F17" i="14"/>
  <c r="K66" i="14"/>
  <c r="K12" i="1"/>
  <c r="J17" i="1"/>
  <c r="AL17" i="1"/>
  <c r="AL14" i="1"/>
  <c r="H12" i="1"/>
  <c r="M13" i="1"/>
  <c r="M12" i="1"/>
  <c r="F83" i="16"/>
  <c r="D94" i="14"/>
  <c r="I85" i="14"/>
  <c r="F21" i="6"/>
  <c r="E17" i="6"/>
  <c r="D14" i="6"/>
  <c r="G20" i="6"/>
  <c r="F17" i="6"/>
  <c r="F14" i="6"/>
  <c r="G45" i="14"/>
  <c r="K36" i="14"/>
  <c r="AU69" i="14"/>
  <c r="AR17" i="14"/>
  <c r="AF66" i="14"/>
  <c r="E81" i="14"/>
  <c r="AF37" i="14"/>
  <c r="AD95" i="14"/>
  <c r="F36" i="14"/>
  <c r="AP45" i="14"/>
  <c r="AU17" i="14"/>
  <c r="F61" i="16"/>
  <c r="AM63" i="14"/>
  <c r="AO63" i="14"/>
  <c r="G37" i="14"/>
  <c r="E95" i="14"/>
  <c r="F95" i="14"/>
  <c r="AR69" i="14"/>
  <c r="AL30" i="14"/>
  <c r="AK69" i="14"/>
  <c r="F67" i="16"/>
  <c r="AB37" i="14"/>
  <c r="AS45" i="14"/>
  <c r="C43" i="16"/>
  <c r="G66" i="14"/>
  <c r="AL37" i="14"/>
  <c r="F93" i="16"/>
  <c r="E23" i="1"/>
  <c r="H13" i="1"/>
  <c r="AJ23" i="1"/>
  <c r="M14" i="1"/>
  <c r="K16" i="1"/>
  <c r="AK12" i="1"/>
  <c r="E12" i="1"/>
  <c r="I14" i="6"/>
  <c r="I13" i="6"/>
  <c r="F25" i="6"/>
  <c r="G25" i="6"/>
  <c r="D19" i="6"/>
  <c r="C34" i="16"/>
  <c r="AT69" i="14"/>
  <c r="G93" i="16"/>
  <c r="AT63" i="14"/>
  <c r="D15" i="16"/>
  <c r="AQ81" i="14"/>
  <c r="G95" i="14"/>
  <c r="AO30" i="14"/>
  <c r="AM81" i="14"/>
  <c r="AP30" i="14"/>
  <c r="H37" i="14"/>
  <c r="H81" i="14"/>
  <c r="C37" i="14"/>
  <c r="AK63" i="14"/>
  <c r="AD36" i="14"/>
  <c r="AM66" i="14"/>
  <c r="AS30" i="14"/>
  <c r="AU66" i="14"/>
  <c r="G17" i="14"/>
  <c r="G30" i="14"/>
  <c r="AL63" i="14"/>
  <c r="G67" i="16"/>
  <c r="H17" i="14"/>
  <c r="AU45" i="14"/>
  <c r="AO95" i="14"/>
  <c r="AF45" i="14"/>
  <c r="C36" i="14"/>
  <c r="D45" i="14"/>
  <c r="C28" i="16"/>
  <c r="AO37" i="14"/>
  <c r="AN36" i="14"/>
  <c r="G61" i="16"/>
  <c r="AB81" i="14"/>
  <c r="D14" i="1"/>
  <c r="H16" i="1"/>
  <c r="AL12" i="1"/>
  <c r="H14" i="1"/>
  <c r="AK23" i="1"/>
  <c r="H23" i="1"/>
  <c r="I12" i="1"/>
  <c r="D16" i="1"/>
  <c r="AT101" i="14"/>
  <c r="AK106" i="14"/>
  <c r="D99" i="14"/>
  <c r="G101" i="14"/>
  <c r="F99" i="14"/>
  <c r="AF101" i="14"/>
  <c r="F92" i="16"/>
  <c r="D69" i="16"/>
  <c r="AF106" i="14"/>
  <c r="AT15" i="14"/>
  <c r="G94" i="14"/>
  <c r="AF11" i="5"/>
  <c r="D15" i="14"/>
  <c r="AN28" i="14"/>
  <c r="F26" i="16"/>
  <c r="AT28" i="14"/>
  <c r="C83" i="16"/>
  <c r="AP44" i="14"/>
  <c r="F104" i="16"/>
  <c r="H44" i="14"/>
  <c r="AB94" i="14"/>
  <c r="G13" i="6"/>
  <c r="I24" i="6"/>
  <c r="E19" i="6"/>
  <c r="D13" i="6"/>
  <c r="D20" i="6"/>
  <c r="D17" i="6"/>
  <c r="D36" i="14"/>
  <c r="AS63" i="14"/>
  <c r="I30" i="14"/>
  <c r="H69" i="14"/>
  <c r="E17" i="14"/>
  <c r="AD63" i="14"/>
  <c r="AH63" i="14" s="1"/>
  <c r="G34" i="16"/>
  <c r="AM45" i="14"/>
  <c r="AP37" i="14"/>
  <c r="K63" i="14"/>
  <c r="AP63" i="14"/>
  <c r="AN45" i="14"/>
  <c r="AR37" i="14"/>
  <c r="F43" i="16"/>
  <c r="AB36" i="14"/>
  <c r="AS69" i="14"/>
  <c r="H35" i="16"/>
  <c r="AB45" i="14"/>
  <c r="AP17" i="14"/>
  <c r="J23" i="1"/>
  <c r="K23" i="1"/>
  <c r="E13" i="1"/>
  <c r="H17" i="1"/>
  <c r="M17" i="1"/>
  <c r="J13" i="1"/>
  <c r="I16" i="1"/>
  <c r="J16" i="1"/>
  <c r="C66" i="14"/>
  <c r="AD66" i="14"/>
  <c r="AH66" i="14" s="1"/>
  <c r="AM37" i="14"/>
  <c r="K30" i="14"/>
  <c r="AL45" i="14"/>
  <c r="AP66" i="14"/>
  <c r="AS66" i="14"/>
  <c r="F37" i="14"/>
  <c r="AF36" i="14"/>
  <c r="AP69" i="14"/>
  <c r="AS95" i="14"/>
  <c r="AM71" i="14"/>
  <c r="F85" i="14"/>
  <c r="AB85" i="14"/>
  <c r="AU104" i="14"/>
  <c r="AS44" i="14"/>
  <c r="AP101" i="14"/>
  <c r="AO66" i="14"/>
  <c r="AD17" i="14"/>
  <c r="D17" i="14"/>
  <c r="G81" i="14"/>
  <c r="E69" i="14"/>
  <c r="AU95" i="14"/>
  <c r="AB69" i="14"/>
  <c r="K45" i="14"/>
  <c r="G43" i="16"/>
  <c r="AR36" i="14"/>
  <c r="I63" i="14"/>
  <c r="AR45" i="14"/>
  <c r="AB95" i="14"/>
  <c r="E36" i="14"/>
  <c r="D28" i="16"/>
  <c r="AQ66" i="14"/>
  <c r="D12" i="1"/>
  <c r="AK14" i="1"/>
  <c r="AJ12" i="1"/>
  <c r="I14" i="1"/>
  <c r="M16" i="1"/>
  <c r="AJ17" i="1"/>
  <c r="D17" i="1"/>
  <c r="AK13" i="1"/>
  <c r="F81" i="14"/>
  <c r="C93" i="16"/>
  <c r="AF69" i="14"/>
  <c r="H67" i="16"/>
  <c r="AQ63" i="14"/>
  <c r="AU36" i="14"/>
  <c r="AK45" i="14"/>
  <c r="F45" i="14"/>
  <c r="AQ37" i="14"/>
  <c r="AM69" i="14"/>
  <c r="H95" i="14"/>
  <c r="AO81" i="14"/>
  <c r="H64" i="16"/>
  <c r="G63" i="14"/>
  <c r="AL69" i="14"/>
  <c r="AL81" i="14"/>
  <c r="H63" i="14"/>
  <c r="AK81" i="14"/>
  <c r="AL36" i="14"/>
  <c r="AL23" i="1"/>
  <c r="AJ14" i="1"/>
  <c r="AK17" i="1"/>
  <c r="E14" i="1"/>
  <c r="AK16" i="1"/>
  <c r="E16" i="1"/>
  <c r="AJ13" i="1"/>
  <c r="AS81" i="14"/>
  <c r="G36" i="14"/>
  <c r="F66" i="14"/>
  <c r="AB30" i="14"/>
  <c r="AR30" i="14"/>
  <c r="AB66" i="14"/>
  <c r="C69" i="14"/>
  <c r="AF17" i="14"/>
  <c r="AD30" i="14"/>
  <c r="AT81" i="14"/>
  <c r="C79" i="16"/>
  <c r="AQ30" i="14"/>
  <c r="AB17" i="14"/>
  <c r="E63" i="14"/>
  <c r="G28" i="16"/>
  <c r="AS36" i="14"/>
  <c r="AT66" i="14"/>
  <c r="H66" i="14"/>
  <c r="J14" i="1"/>
  <c r="K14" i="1"/>
  <c r="E17" i="1"/>
  <c r="I17" i="1"/>
  <c r="J12" i="1"/>
  <c r="AL16" i="1"/>
  <c r="K13" i="1"/>
  <c r="D13" i="1"/>
  <c r="G17" i="6"/>
  <c r="E24" i="6"/>
  <c r="F19" i="6"/>
  <c r="D64" i="16"/>
  <c r="H45" i="14"/>
  <c r="AN95" i="14"/>
  <c r="AO17" i="14"/>
  <c r="I81" i="14"/>
  <c r="C45" i="14"/>
  <c r="E45" i="14"/>
  <c r="F34" i="16"/>
  <c r="C17" i="14"/>
  <c r="AN30" i="14"/>
  <c r="C67" i="16"/>
  <c r="F35" i="16"/>
  <c r="C30" i="14"/>
  <c r="C63" i="14"/>
  <c r="AF95" i="14"/>
  <c r="AF81" i="14"/>
  <c r="AL13" i="1"/>
  <c r="AJ16" i="1"/>
  <c r="I13" i="1"/>
  <c r="M23" i="1"/>
  <c r="I23" i="1"/>
  <c r="K17" i="1"/>
  <c r="D23" i="1"/>
  <c r="I22" i="7"/>
  <c r="I24" i="7"/>
  <c r="E18" i="7"/>
  <c r="I16" i="7"/>
  <c r="D13" i="7"/>
  <c r="E16" i="7"/>
  <c r="F13" i="7"/>
  <c r="E17" i="7"/>
  <c r="D16" i="7"/>
  <c r="I14" i="7"/>
  <c r="F21" i="7"/>
  <c r="E24" i="7"/>
  <c r="I17" i="7"/>
  <c r="F17" i="7"/>
  <c r="D17" i="7"/>
  <c r="E13" i="7"/>
  <c r="G15" i="7"/>
  <c r="E21" i="7"/>
  <c r="E23" i="7"/>
  <c r="G23" i="7"/>
  <c r="G22" i="7"/>
  <c r="F22" i="7"/>
  <c r="F16" i="7"/>
  <c r="D24" i="7"/>
  <c r="G21" i="7"/>
  <c r="F24" i="7"/>
  <c r="D18" i="7"/>
  <c r="I21" i="7"/>
  <c r="D14" i="7"/>
  <c r="D21" i="7"/>
  <c r="G17" i="7"/>
  <c r="D23" i="7"/>
  <c r="I23" i="7"/>
  <c r="E22" i="7"/>
  <c r="F14" i="7"/>
  <c r="I15" i="7"/>
  <c r="I13" i="7"/>
  <c r="AL22" i="1"/>
  <c r="AJ11" i="5"/>
  <c r="AL25" i="1"/>
  <c r="M13" i="5"/>
  <c r="K11" i="1"/>
  <c r="AJ22" i="1"/>
  <c r="I11" i="5"/>
  <c r="H11" i="5"/>
  <c r="G14" i="7"/>
  <c r="D22" i="1"/>
  <c r="M25" i="1"/>
  <c r="AL19" i="1"/>
  <c r="I11" i="6"/>
  <c r="D22" i="7"/>
  <c r="I11" i="1"/>
  <c r="H11" i="1"/>
  <c r="K11" i="5"/>
  <c r="J11" i="1"/>
  <c r="AK11" i="1"/>
  <c r="AK11" i="5"/>
  <c r="I22" i="1"/>
  <c r="G11" i="6"/>
  <c r="G18" i="7"/>
  <c r="E22" i="1"/>
  <c r="I19" i="1"/>
  <c r="H19" i="1"/>
  <c r="E25" i="1"/>
  <c r="J19" i="1"/>
  <c r="AK19" i="1"/>
  <c r="AK13" i="5"/>
  <c r="I25" i="1"/>
  <c r="J19" i="7"/>
  <c r="F15" i="7"/>
  <c r="E14" i="7"/>
  <c r="D15" i="7"/>
  <c r="M19" i="1"/>
  <c r="H22" i="1"/>
  <c r="E15" i="7"/>
  <c r="D11" i="6"/>
  <c r="E11" i="6"/>
  <c r="J25" i="1"/>
  <c r="D25" i="1"/>
  <c r="E13" i="5"/>
  <c r="D13" i="5"/>
  <c r="J11" i="5"/>
  <c r="M11" i="5"/>
  <c r="J13" i="5"/>
  <c r="AL13" i="5"/>
  <c r="AL11" i="5"/>
  <c r="H25" i="1"/>
  <c r="AJ13" i="5"/>
  <c r="E19" i="1"/>
  <c r="K22" i="1"/>
  <c r="J22" i="1"/>
  <c r="B6" i="6"/>
  <c r="K19" i="1"/>
  <c r="D19" i="1"/>
  <c r="AJ25" i="1"/>
  <c r="I13" i="5"/>
  <c r="AJ19" i="1"/>
  <c r="H13" i="5"/>
  <c r="F11" i="6"/>
  <c r="I18" i="7"/>
  <c r="G13" i="7"/>
  <c r="G24" i="7"/>
  <c r="AK22" i="1"/>
  <c r="D11" i="1"/>
  <c r="AJ11" i="1"/>
  <c r="G16" i="7"/>
  <c r="AK25" i="1"/>
  <c r="M22" i="1"/>
  <c r="E11" i="5"/>
  <c r="E11" i="1"/>
  <c r="M11" i="1"/>
  <c r="D11" i="5"/>
  <c r="AL11" i="1"/>
  <c r="E6" i="6"/>
  <c r="F18" i="7"/>
  <c r="F23" i="7"/>
  <c r="D12" i="7"/>
  <c r="G19" i="7"/>
  <c r="K12" i="4"/>
  <c r="M15" i="4"/>
  <c r="I20" i="7"/>
  <c r="I25" i="7"/>
  <c r="I12" i="7"/>
  <c r="I12" i="4"/>
  <c r="H12" i="4"/>
  <c r="I15" i="4"/>
  <c r="D15" i="4"/>
  <c r="J15" i="4"/>
  <c r="E12" i="7"/>
  <c r="E19" i="7"/>
  <c r="H14" i="4"/>
  <c r="E25" i="7"/>
  <c r="E6" i="1"/>
  <c r="D14" i="4"/>
  <c r="F25" i="7"/>
  <c r="E14" i="4"/>
  <c r="D13" i="4"/>
  <c r="I13" i="4"/>
  <c r="F20" i="7"/>
  <c r="I14" i="4"/>
  <c r="D12" i="4"/>
  <c r="H13" i="4"/>
  <c r="E15" i="4"/>
  <c r="F12" i="7"/>
  <c r="E6" i="5"/>
  <c r="H15" i="4"/>
  <c r="K14" i="4"/>
  <c r="E20" i="7"/>
  <c r="G25" i="7"/>
  <c r="M14" i="4"/>
  <c r="E13" i="4"/>
  <c r="D20" i="7"/>
  <c r="J13" i="4"/>
  <c r="F19" i="7"/>
  <c r="B6" i="5"/>
  <c r="K15" i="4"/>
  <c r="I19" i="7"/>
  <c r="D19" i="7"/>
  <c r="E6" i="4"/>
  <c r="E12" i="4"/>
  <c r="M13" i="4"/>
  <c r="M12" i="4"/>
  <c r="J14" i="4"/>
  <c r="D25" i="7"/>
  <c r="J12" i="4"/>
  <c r="K13" i="4"/>
  <c r="B6" i="4"/>
  <c r="G12" i="7"/>
  <c r="B6" i="1"/>
  <c r="G20" i="7"/>
  <c r="W21" i="7"/>
  <c r="Z11" i="4"/>
  <c r="R11" i="4"/>
  <c r="E11" i="7"/>
  <c r="AA11" i="4"/>
  <c r="F11" i="7"/>
  <c r="AB11" i="4"/>
  <c r="B6" i="7"/>
  <c r="D11" i="7"/>
  <c r="AC11" i="4"/>
  <c r="X21" i="7"/>
  <c r="AI11" i="5"/>
  <c r="S11" i="4"/>
  <c r="I11" i="7"/>
  <c r="AI12" i="5"/>
  <c r="G11" i="7"/>
  <c r="AI13" i="5"/>
  <c r="AI15" i="1"/>
  <c r="AI16" i="1"/>
  <c r="AI17" i="1"/>
  <c r="AI18" i="1"/>
  <c r="AI13" i="1"/>
  <c r="AI21" i="1"/>
  <c r="AI14" i="1"/>
  <c r="AI22" i="1"/>
  <c r="AI11" i="1"/>
  <c r="AI23" i="1"/>
  <c r="AI24" i="1"/>
  <c r="AI25" i="1"/>
  <c r="AI26" i="1"/>
  <c r="AI19" i="1"/>
  <c r="AI27" i="1"/>
  <c r="AI12" i="1"/>
  <c r="AI20" i="1"/>
  <c r="AI28" i="1"/>
  <c r="AF15" i="1"/>
  <c r="AF18" i="1"/>
  <c r="AF20" i="1"/>
  <c r="AF21" i="1"/>
  <c r="AJ18" i="1"/>
  <c r="D15" i="1"/>
  <c r="H18" i="1"/>
  <c r="D20" i="1"/>
  <c r="AJ20" i="1"/>
  <c r="H21" i="1"/>
  <c r="M15" i="1"/>
  <c r="AL24" i="1"/>
  <c r="H24" i="1"/>
  <c r="J20" i="1"/>
  <c r="J24" i="1"/>
  <c r="M18" i="1"/>
  <c r="H15" i="1"/>
  <c r="AK21" i="1"/>
  <c r="M20" i="1"/>
  <c r="J15" i="1"/>
  <c r="E21" i="1"/>
  <c r="M24" i="1"/>
  <c r="I21" i="1"/>
  <c r="K21" i="1"/>
  <c r="E24" i="1"/>
  <c r="AL18" i="1"/>
  <c r="I24" i="1"/>
  <c r="AL15" i="1"/>
  <c r="AJ21" i="1"/>
  <c r="E18" i="1"/>
  <c r="K15" i="1"/>
  <c r="AL21" i="1"/>
  <c r="J21" i="1"/>
  <c r="I18" i="1"/>
  <c r="J18" i="1"/>
  <c r="E15" i="1"/>
  <c r="AK24" i="1"/>
  <c r="D18" i="1"/>
  <c r="AL20" i="1"/>
  <c r="I15" i="1"/>
  <c r="H20" i="1"/>
  <c r="AJ24" i="1"/>
  <c r="K20" i="1"/>
  <c r="AK20" i="1"/>
  <c r="AJ15" i="1"/>
  <c r="AK15" i="1"/>
  <c r="E20" i="1"/>
  <c r="D24" i="1"/>
  <c r="AK18" i="1"/>
  <c r="D21" i="1"/>
  <c r="M21" i="1"/>
  <c r="I20" i="1"/>
  <c r="K18" i="1"/>
  <c r="E16" i="4"/>
  <c r="H16" i="4"/>
  <c r="I16" i="4"/>
  <c r="M16" i="4"/>
  <c r="D16" i="4"/>
  <c r="N11" i="4"/>
  <c r="J16" i="4"/>
  <c r="D54" i="12"/>
  <c r="D87" i="12"/>
  <c r="C114" i="12"/>
  <c r="D91" i="12"/>
  <c r="C110" i="12"/>
  <c r="D55" i="12"/>
  <c r="C83" i="12"/>
  <c r="D93" i="12"/>
  <c r="D97" i="12"/>
  <c r="C112" i="12"/>
  <c r="C72" i="12"/>
  <c r="D114" i="12"/>
  <c r="F17" i="12"/>
  <c r="C56" i="12"/>
  <c r="I15" i="12"/>
  <c r="C57" i="12"/>
  <c r="C89" i="12"/>
  <c r="D110" i="12"/>
  <c r="C66" i="12"/>
  <c r="D62" i="12"/>
  <c r="C81" i="12"/>
  <c r="B85" i="12"/>
  <c r="C21" i="12"/>
  <c r="C87" i="12"/>
  <c r="D80" i="12"/>
  <c r="D56" i="12"/>
  <c r="C68" i="12"/>
  <c r="D64" i="12"/>
  <c r="C115" i="12"/>
  <c r="C12" i="12"/>
  <c r="C13" i="12"/>
  <c r="C64" i="12"/>
  <c r="D73" i="12"/>
  <c r="D70" i="12"/>
  <c r="C61" i="12"/>
  <c r="F11" i="12"/>
  <c r="D107" i="12"/>
  <c r="D94" i="12"/>
  <c r="I10" i="12"/>
  <c r="D60" i="12"/>
  <c r="C55" i="12"/>
  <c r="C78" i="12"/>
  <c r="D108" i="12"/>
  <c r="D111" i="12"/>
  <c r="D85" i="12"/>
  <c r="C54" i="12"/>
  <c r="C102" i="12"/>
  <c r="C10" i="12"/>
  <c r="C80" i="12"/>
  <c r="C19" i="12"/>
  <c r="C100" i="12"/>
  <c r="D71" i="12"/>
  <c r="D59" i="12"/>
  <c r="D61" i="12"/>
  <c r="D81" i="12"/>
  <c r="D65" i="12"/>
  <c r="C59" i="12"/>
  <c r="F12" i="12"/>
  <c r="C20" i="12"/>
  <c r="C96" i="12"/>
  <c r="D99" i="12"/>
  <c r="C85" i="12"/>
  <c r="C60" i="12"/>
  <c r="C91" i="12"/>
  <c r="D112" i="12"/>
  <c r="C79" i="12"/>
  <c r="C77" i="12"/>
  <c r="D100" i="12"/>
  <c r="C86" i="12"/>
  <c r="D115" i="12"/>
  <c r="B77" i="12"/>
  <c r="C94" i="12"/>
  <c r="F18" i="12"/>
  <c r="D63" i="12"/>
  <c r="C98" i="12"/>
  <c r="C97" i="12"/>
  <c r="D89" i="12"/>
  <c r="C109" i="12"/>
  <c r="D79" i="12"/>
  <c r="C82" i="12"/>
  <c r="C101" i="12"/>
  <c r="I11" i="12"/>
  <c r="D103" i="12"/>
  <c r="C67" i="12"/>
  <c r="C90" i="12"/>
  <c r="B105" i="12"/>
  <c r="D95" i="12"/>
  <c r="C107" i="12"/>
  <c r="D6" i="12"/>
  <c r="B117" i="12"/>
  <c r="D68" i="12"/>
  <c r="C71" i="12"/>
  <c r="C92" i="12"/>
  <c r="D86" i="12"/>
  <c r="B54" i="12"/>
  <c r="G55" i="12"/>
  <c r="D69" i="12"/>
  <c r="G58" i="12"/>
  <c r="C70" i="12"/>
  <c r="C73" i="12"/>
  <c r="D75" i="12"/>
  <c r="F13" i="12"/>
  <c r="C69" i="12"/>
  <c r="AH11" i="5"/>
  <c r="D67" i="12"/>
  <c r="C74" i="12"/>
  <c r="D72" i="12"/>
  <c r="D77" i="12"/>
  <c r="AH21" i="1"/>
  <c r="AE11" i="1"/>
  <c r="AE19" i="1"/>
  <c r="AE27" i="1"/>
  <c r="P12" i="12"/>
  <c r="D90" i="12"/>
  <c r="F10" i="12"/>
  <c r="C95" i="12"/>
  <c r="D92" i="12"/>
  <c r="AH14" i="1"/>
  <c r="AH22" i="1"/>
  <c r="G53" i="12"/>
  <c r="D96" i="12"/>
  <c r="AE12" i="1"/>
  <c r="AE20" i="1"/>
  <c r="AE28" i="1"/>
  <c r="P53" i="12"/>
  <c r="C63" i="12"/>
  <c r="F16" i="12"/>
  <c r="D74" i="12"/>
  <c r="D58" i="12"/>
  <c r="D102" i="12"/>
  <c r="AH15" i="1"/>
  <c r="AH23" i="1"/>
  <c r="I12" i="12"/>
  <c r="C62" i="12"/>
  <c r="P36" i="12"/>
  <c r="C93" i="12"/>
  <c r="C75" i="12"/>
  <c r="AE23" i="1"/>
  <c r="F62" i="12"/>
  <c r="G52" i="12"/>
  <c r="C65" i="12"/>
  <c r="C17" i="12"/>
  <c r="C58" i="12"/>
  <c r="C88" i="12"/>
  <c r="AH18" i="1"/>
  <c r="D109" i="12"/>
  <c r="AE24" i="1"/>
  <c r="D83" i="12"/>
  <c r="C99" i="12"/>
  <c r="D105" i="12"/>
  <c r="D117" i="12"/>
  <c r="AH19" i="1"/>
  <c r="AH27" i="1"/>
  <c r="D101" i="12"/>
  <c r="AE17" i="1"/>
  <c r="AE25" i="1"/>
  <c r="C117" i="12"/>
  <c r="P39" i="12"/>
  <c r="D98" i="12"/>
  <c r="AH16" i="1"/>
  <c r="C105" i="12"/>
  <c r="AE22" i="1"/>
  <c r="G57" i="12"/>
  <c r="C111" i="12"/>
  <c r="AH12" i="5"/>
  <c r="AH17" i="1"/>
  <c r="AH25" i="1"/>
  <c r="AE15" i="1"/>
  <c r="AH13" i="5"/>
  <c r="AH26" i="1"/>
  <c r="AE16" i="1"/>
  <c r="B134" i="12"/>
  <c r="F15" i="12"/>
  <c r="AH11" i="1"/>
  <c r="I53" i="12"/>
  <c r="D66" i="12"/>
  <c r="G56" i="12"/>
  <c r="C108" i="12"/>
  <c r="C11" i="12"/>
  <c r="I13" i="12"/>
  <c r="AH12" i="1"/>
  <c r="AH20" i="1"/>
  <c r="AH28" i="1"/>
  <c r="AE21" i="1"/>
  <c r="D88" i="12"/>
  <c r="AH24" i="1"/>
  <c r="AE14" i="1"/>
  <c r="D78" i="12"/>
  <c r="C103" i="12"/>
  <c r="D106" i="12"/>
  <c r="AE18" i="1"/>
  <c r="AE26" i="1"/>
  <c r="AE13" i="1"/>
  <c r="D57" i="12"/>
  <c r="M52" i="12"/>
  <c r="AH13" i="1"/>
  <c r="C106" i="12"/>
  <c r="D82" i="12"/>
  <c r="I16" i="12"/>
  <c r="I148" i="14"/>
  <c r="I136" i="14"/>
  <c r="T122" i="14"/>
  <c r="T138" i="14"/>
  <c r="I141" i="14"/>
  <c r="I152" i="14"/>
  <c r="T125" i="14"/>
  <c r="T139" i="14"/>
  <c r="T154" i="14"/>
  <c r="I19" i="4"/>
  <c r="J28" i="1"/>
  <c r="I125" i="14"/>
  <c r="T136" i="14"/>
  <c r="I113" i="14"/>
  <c r="I160" i="14"/>
  <c r="T149" i="14"/>
  <c r="T128" i="14"/>
  <c r="I153" i="14"/>
  <c r="T155" i="14"/>
  <c r="I20" i="4"/>
  <c r="I119" i="14"/>
  <c r="I132" i="14"/>
  <c r="T114" i="14"/>
  <c r="T129" i="14"/>
  <c r="T144" i="14"/>
  <c r="I21" i="4"/>
  <c r="M21" i="4"/>
  <c r="AK28" i="1"/>
  <c r="M18" i="4"/>
  <c r="T157" i="14"/>
  <c r="J19" i="4"/>
  <c r="AL27" i="1"/>
  <c r="I137" i="14"/>
  <c r="I118" i="14"/>
  <c r="I129" i="14"/>
  <c r="AK26" i="1"/>
  <c r="I143" i="14"/>
  <c r="I156" i="14"/>
  <c r="I133" i="14"/>
  <c r="I144" i="14"/>
  <c r="T115" i="14"/>
  <c r="T130" i="14"/>
  <c r="T145" i="14"/>
  <c r="T160" i="14"/>
  <c r="D26" i="1"/>
  <c r="AJ27" i="1"/>
  <c r="I124" i="14"/>
  <c r="M28" i="1"/>
  <c r="I142" i="14"/>
  <c r="T141" i="14"/>
  <c r="J17" i="4"/>
  <c r="I121" i="14"/>
  <c r="H27" i="1"/>
  <c r="J21" i="4"/>
  <c r="T113" i="14"/>
  <c r="I120" i="14"/>
  <c r="I157" i="14"/>
  <c r="I134" i="14"/>
  <c r="I145" i="14"/>
  <c r="T117" i="14"/>
  <c r="T131" i="14"/>
  <c r="T146" i="14"/>
  <c r="H18" i="4"/>
  <c r="E27" i="6"/>
  <c r="D28" i="1"/>
  <c r="AJ28" i="1"/>
  <c r="T120" i="14"/>
  <c r="T133" i="14"/>
  <c r="T147" i="14"/>
  <c r="H19" i="4"/>
  <c r="D21" i="4"/>
  <c r="D18" i="4"/>
  <c r="F28" i="6"/>
  <c r="F27" i="6"/>
  <c r="I149" i="14"/>
  <c r="I27" i="6"/>
  <c r="E26" i="1"/>
  <c r="I111" i="14"/>
  <c r="I158" i="14"/>
  <c r="I135" i="14"/>
  <c r="T121" i="14"/>
  <c r="I126" i="14"/>
  <c r="T152" i="14"/>
  <c r="H21" i="4"/>
  <c r="E28" i="1"/>
  <c r="AN12" i="5"/>
  <c r="I112" i="14"/>
  <c r="I159" i="14"/>
  <c r="H20" i="4"/>
  <c r="T137" i="14"/>
  <c r="I116" i="14"/>
  <c r="I150" i="14"/>
  <c r="I26" i="1"/>
  <c r="I127" i="14"/>
  <c r="I140" i="14"/>
  <c r="T123" i="14"/>
  <c r="T153" i="14"/>
  <c r="E18" i="4"/>
  <c r="I117" i="14"/>
  <c r="I128" i="14"/>
  <c r="I151" i="14"/>
  <c r="T112" i="14"/>
  <c r="I28" i="1"/>
  <c r="M26" i="1"/>
  <c r="E21" i="4"/>
  <c r="T116" i="14"/>
  <c r="T124" i="14"/>
  <c r="T132" i="14"/>
  <c r="T140" i="14"/>
  <c r="T148" i="14"/>
  <c r="T156" i="14"/>
  <c r="H26" i="1"/>
  <c r="I27" i="1"/>
  <c r="J20" i="4"/>
  <c r="I28" i="6"/>
  <c r="M17" i="4"/>
  <c r="D17" i="4"/>
  <c r="E17" i="4"/>
  <c r="AL26" i="1"/>
  <c r="I154" i="14"/>
  <c r="T118" i="14"/>
  <c r="T134" i="14"/>
  <c r="T150" i="14"/>
  <c r="H28" i="1"/>
  <c r="E28" i="6"/>
  <c r="M19" i="4"/>
  <c r="D19" i="4"/>
  <c r="E19" i="4"/>
  <c r="AL28" i="1"/>
  <c r="I114" i="14"/>
  <c r="I122" i="14"/>
  <c r="I130" i="14"/>
  <c r="I138" i="14"/>
  <c r="I146" i="14"/>
  <c r="T126" i="14"/>
  <c r="T142" i="14"/>
  <c r="T158" i="14"/>
  <c r="D27" i="6"/>
  <c r="I17" i="4"/>
  <c r="J26" i="1"/>
  <c r="I131" i="14"/>
  <c r="I139" i="14"/>
  <c r="I147" i="14"/>
  <c r="I155" i="14"/>
  <c r="T111" i="14"/>
  <c r="T119" i="14"/>
  <c r="T127" i="14"/>
  <c r="T135" i="14"/>
  <c r="T143" i="14"/>
  <c r="T151" i="14"/>
  <c r="T159" i="14"/>
  <c r="D28" i="6"/>
  <c r="H17" i="4"/>
  <c r="I18" i="4"/>
  <c r="J27" i="1"/>
  <c r="M20" i="4"/>
  <c r="D20" i="4"/>
  <c r="E20" i="4"/>
  <c r="AJ26" i="1"/>
  <c r="I115" i="14"/>
  <c r="I123" i="14"/>
  <c r="J18" i="4"/>
  <c r="M27" i="1"/>
  <c r="D27" i="1"/>
  <c r="E27" i="1"/>
  <c r="AK27" i="1"/>
  <c r="AO12" i="5"/>
  <c r="H158" i="16"/>
  <c r="L158" i="16" s="1"/>
  <c r="G158" i="16"/>
  <c r="F158" i="16"/>
  <c r="D158" i="16"/>
  <c r="C158" i="16"/>
  <c r="E158" i="16" s="1"/>
  <c r="B97" i="16"/>
  <c r="B130" i="16"/>
  <c r="B15" i="16"/>
  <c r="B31" i="16"/>
  <c r="B47" i="16"/>
  <c r="B63" i="16"/>
  <c r="B79" i="16"/>
  <c r="B95" i="16"/>
  <c r="B111" i="16"/>
  <c r="B127" i="16"/>
  <c r="B143" i="16"/>
  <c r="B20" i="16"/>
  <c r="B36" i="16"/>
  <c r="B52" i="16"/>
  <c r="B68" i="16"/>
  <c r="B84" i="16"/>
  <c r="B100" i="16"/>
  <c r="B116" i="16"/>
  <c r="B132" i="16"/>
  <c r="B148" i="16"/>
  <c r="B128" i="16"/>
  <c r="B35" i="16"/>
  <c r="B67" i="16"/>
  <c r="B83" i="16"/>
  <c r="B99" i="16"/>
  <c r="B147" i="16"/>
  <c r="B37" i="16"/>
  <c r="B149" i="16"/>
  <c r="B17" i="16"/>
  <c r="B33" i="16"/>
  <c r="B65" i="16"/>
  <c r="B113" i="16"/>
  <c r="B129" i="16"/>
  <c r="B34" i="16"/>
  <c r="B114" i="16"/>
  <c r="B115" i="16"/>
  <c r="B22" i="16"/>
  <c r="B38" i="16"/>
  <c r="B54" i="16"/>
  <c r="B70" i="16"/>
  <c r="B86" i="16"/>
  <c r="B102" i="16"/>
  <c r="B118" i="16"/>
  <c r="B134" i="16"/>
  <c r="B150" i="16"/>
  <c r="B18" i="16"/>
  <c r="B19" i="16"/>
  <c r="B23" i="16"/>
  <c r="B39" i="16"/>
  <c r="B55" i="16"/>
  <c r="B71" i="16"/>
  <c r="B87" i="16"/>
  <c r="B103" i="16"/>
  <c r="B119" i="16"/>
  <c r="B135" i="16"/>
  <c r="B151" i="16"/>
  <c r="B24" i="16"/>
  <c r="B40" i="16"/>
  <c r="B56" i="16"/>
  <c r="B72" i="16"/>
  <c r="B88" i="16"/>
  <c r="B104" i="16"/>
  <c r="B120" i="16"/>
  <c r="B136" i="16"/>
  <c r="B152" i="16"/>
  <c r="B81" i="16"/>
  <c r="B9" i="16"/>
  <c r="B25" i="16"/>
  <c r="B41" i="16"/>
  <c r="B57" i="16"/>
  <c r="B73" i="16"/>
  <c r="B89" i="16"/>
  <c r="B105" i="16"/>
  <c r="B121" i="16"/>
  <c r="B137" i="16"/>
  <c r="B153" i="16"/>
  <c r="B26" i="16"/>
  <c r="B42" i="16"/>
  <c r="B58" i="16"/>
  <c r="B74" i="16"/>
  <c r="B90" i="16"/>
  <c r="B106" i="16"/>
  <c r="B138" i="16"/>
  <c r="B154" i="16"/>
  <c r="B49" i="16"/>
  <c r="B117" i="16"/>
  <c r="B11" i="16"/>
  <c r="B27" i="16"/>
  <c r="B43" i="16"/>
  <c r="B59" i="16"/>
  <c r="B75" i="16"/>
  <c r="B91" i="16"/>
  <c r="B107" i="16"/>
  <c r="B123" i="16"/>
  <c r="B139" i="16"/>
  <c r="B155" i="16"/>
  <c r="B16" i="16"/>
  <c r="B32" i="16"/>
  <c r="B48" i="16"/>
  <c r="B64" i="16"/>
  <c r="B80" i="16"/>
  <c r="B96" i="16"/>
  <c r="B112" i="16"/>
  <c r="B145" i="16"/>
  <c r="B122" i="16"/>
  <c r="B12" i="16"/>
  <c r="B28" i="16"/>
  <c r="B44" i="16"/>
  <c r="B60" i="16"/>
  <c r="B76" i="16"/>
  <c r="B92" i="16"/>
  <c r="B108" i="16"/>
  <c r="B124" i="16"/>
  <c r="B140" i="16"/>
  <c r="B156" i="16"/>
  <c r="B144" i="16"/>
  <c r="B50" i="16"/>
  <c r="B66" i="16"/>
  <c r="B82" i="16"/>
  <c r="B98" i="16"/>
  <c r="B146" i="16"/>
  <c r="B51" i="16"/>
  <c r="B131" i="16"/>
  <c r="B21" i="16"/>
  <c r="B53" i="16"/>
  <c r="B69" i="16"/>
  <c r="B85" i="16"/>
  <c r="B101" i="16"/>
  <c r="B133" i="16"/>
  <c r="B13" i="16"/>
  <c r="B29" i="16"/>
  <c r="B45" i="16"/>
  <c r="B61" i="16"/>
  <c r="B77" i="16"/>
  <c r="B93" i="16"/>
  <c r="B109" i="16"/>
  <c r="B125" i="16"/>
  <c r="B141" i="16"/>
  <c r="B157" i="16"/>
  <c r="B10" i="16"/>
  <c r="B14" i="16"/>
  <c r="B30" i="16"/>
  <c r="B46" i="16"/>
  <c r="B62" i="16"/>
  <c r="B78" i="16"/>
  <c r="B94" i="16"/>
  <c r="B110" i="16"/>
  <c r="B126" i="16"/>
  <c r="B142" i="16"/>
  <c r="T71" i="14" a="1"/>
  <c r="T66" i="14" a="1"/>
  <c r="E57" i="16" a="1"/>
  <c r="E47" i="16" a="1"/>
  <c r="E12" i="16" a="1"/>
  <c r="E60" i="16" a="1"/>
  <c r="E20" i="16" a="1"/>
  <c r="E22" i="16" a="1"/>
  <c r="E100" i="16" a="1"/>
  <c r="E95" i="16" a="1"/>
  <c r="E17" i="16" a="1"/>
  <c r="E32" i="16" a="1"/>
  <c r="E55" i="16" a="1"/>
  <c r="E74" i="16" a="1"/>
  <c r="E80" i="16" a="1"/>
  <c r="E40" i="16" a="1"/>
  <c r="E101" i="16" a="1"/>
  <c r="E58" i="16" a="1"/>
  <c r="E94" i="16" a="1"/>
  <c r="E68" i="16" a="1"/>
  <c r="E16" i="16" a="1"/>
  <c r="E11" i="16" a="1"/>
  <c r="E54" i="16" a="1"/>
  <c r="E30" i="16" a="1"/>
  <c r="E81" i="16" a="1"/>
  <c r="E14" i="16" a="1"/>
  <c r="E73" i="16" a="1"/>
  <c r="E63" i="16" a="1"/>
  <c r="E71" i="16" a="1"/>
  <c r="E59" i="16" a="1"/>
  <c r="E24" i="16" a="1"/>
  <c r="E41" i="16" a="1"/>
  <c r="E38" i="16" a="1"/>
  <c r="E84" i="16" a="1"/>
  <c r="E108" i="16" a="1"/>
  <c r="E18" i="16" a="1"/>
  <c r="E50" i="16" a="1"/>
  <c r="E90" i="16" a="1"/>
  <c r="E96" i="16" a="1"/>
  <c r="E36" i="16" a="1"/>
  <c r="E25" i="16" a="1"/>
  <c r="E31" i="16" a="1"/>
  <c r="E37" i="16" a="1"/>
  <c r="E53" i="16" a="1"/>
  <c r="E52" i="16" a="1"/>
  <c r="E77" i="16" a="1"/>
  <c r="E106" i="16" a="1"/>
  <c r="E78" i="16" a="1"/>
  <c r="E72" i="16" a="1"/>
  <c r="E10" i="16" a="1"/>
  <c r="E21" i="16" a="1"/>
  <c r="E66" i="16" a="1"/>
  <c r="E27" i="16" a="1"/>
  <c r="E62" i="16" a="1"/>
  <c r="E91" i="16" a="1"/>
  <c r="E23" i="16" a="1"/>
  <c r="E19" i="16" a="1"/>
  <c r="E51" i="16" a="1"/>
  <c r="E87" i="16" a="1"/>
  <c r="E75" i="16" a="1"/>
  <c r="E49" i="16" a="1"/>
  <c r="E9" i="16" a="1"/>
  <c r="E105" i="16" a="1"/>
  <c r="E107" i="16" a="1"/>
  <c r="E76" i="16" a="1"/>
  <c r="E46" i="16" a="1"/>
  <c r="E33" i="16" a="1"/>
  <c r="E103" i="16" a="1"/>
  <c r="E39" i="16" a="1"/>
  <c r="E44" i="16" a="1"/>
  <c r="E86" i="16" a="1"/>
  <c r="E45" i="16" a="1"/>
  <c r="E88" i="16" a="1"/>
  <c r="E48" i="16" a="1"/>
  <c r="E65" i="16" a="1"/>
  <c r="E82" i="16" a="1"/>
  <c r="E85" i="16" a="1"/>
  <c r="E89" i="16" a="1"/>
  <c r="E98" i="16" a="1"/>
  <c r="E70" i="16" a="1"/>
  <c r="E29" i="16" a="1"/>
  <c r="E56" i="16" a="1"/>
  <c r="E26" i="16" a="1"/>
  <c r="E102" i="16" a="1"/>
  <c r="E104" i="16" a="1"/>
  <c r="E28" i="16" a="1"/>
  <c r="E79" i="16" a="1"/>
  <c r="F14" i="1" a="1"/>
  <c r="E34" i="16" a="1"/>
  <c r="F16" i="1" a="1"/>
  <c r="E97" i="16" a="1"/>
  <c r="E69" i="16" a="1"/>
  <c r="E13" i="16" a="1"/>
  <c r="E43" i="16" a="1"/>
  <c r="E99" i="16" a="1"/>
  <c r="E61" i="16" a="1"/>
  <c r="E92" i="16" a="1"/>
  <c r="F23" i="1" a="1"/>
  <c r="F17" i="1" a="1"/>
  <c r="E15" i="16" a="1"/>
  <c r="E35" i="16" a="1"/>
  <c r="E42" i="16" a="1"/>
  <c r="E64" i="16" a="1"/>
  <c r="E83" i="16" a="1"/>
  <c r="F13" i="1" a="1"/>
  <c r="E93" i="16" a="1"/>
  <c r="E67" i="16" a="1"/>
  <c r="F12" i="1" a="1"/>
  <c r="AF19" i="1" a="1"/>
  <c r="F11" i="1" a="1"/>
  <c r="F22" i="1" a="1"/>
  <c r="F25" i="1" a="1"/>
  <c r="F13" i="5" a="1"/>
  <c r="F11" i="5" a="1"/>
  <c r="F19" i="1" a="1"/>
  <c r="F15" i="4" a="1"/>
  <c r="F12" i="4" a="1"/>
  <c r="F13" i="4" a="1"/>
  <c r="F14" i="4" a="1"/>
  <c r="F18" i="1" a="1"/>
  <c r="F24" i="1" a="1"/>
  <c r="F21" i="1" a="1"/>
  <c r="F20" i="1" a="1"/>
  <c r="F15" i="1" a="1"/>
  <c r="F16" i="4" a="1"/>
  <c r="F27" i="1" a="1"/>
  <c r="F17" i="4" a="1"/>
  <c r="F28" i="1" a="1"/>
  <c r="F18" i="4" a="1"/>
  <c r="F20" i="4" a="1"/>
  <c r="F21" i="4" a="1"/>
  <c r="F26" i="1" a="1"/>
  <c r="F19" i="4" a="1"/>
  <c r="T66" i="14" l="1"/>
  <c r="T71" i="14"/>
  <c r="E32" i="16"/>
  <c r="E17" i="16"/>
  <c r="E95" i="16"/>
  <c r="E100" i="16"/>
  <c r="E22" i="16"/>
  <c r="E20" i="16"/>
  <c r="E60" i="16"/>
  <c r="E12" i="16"/>
  <c r="E47" i="16"/>
  <c r="E57" i="16"/>
  <c r="E41" i="16"/>
  <c r="E24" i="16"/>
  <c r="E59" i="16"/>
  <c r="E71" i="16"/>
  <c r="E63" i="16"/>
  <c r="E73" i="16"/>
  <c r="E14" i="16"/>
  <c r="E81" i="16"/>
  <c r="E30" i="16"/>
  <c r="E54" i="16"/>
  <c r="E11" i="16"/>
  <c r="E16" i="16"/>
  <c r="E68" i="16"/>
  <c r="E94" i="16"/>
  <c r="E58" i="16"/>
  <c r="E101" i="16"/>
  <c r="E40" i="16"/>
  <c r="E80" i="16"/>
  <c r="E74" i="16"/>
  <c r="E55" i="16"/>
  <c r="AH82" i="14"/>
  <c r="AH96" i="14"/>
  <c r="E56" i="16"/>
  <c r="E29" i="16"/>
  <c r="E70" i="16"/>
  <c r="E98" i="16"/>
  <c r="E89" i="16"/>
  <c r="E85" i="16"/>
  <c r="E82" i="16"/>
  <c r="E65" i="16"/>
  <c r="E48" i="16"/>
  <c r="E88" i="16"/>
  <c r="E45" i="16"/>
  <c r="E86" i="16"/>
  <c r="E44" i="16"/>
  <c r="E39" i="16"/>
  <c r="E103" i="16"/>
  <c r="E33" i="16"/>
  <c r="E46" i="16"/>
  <c r="E76" i="16"/>
  <c r="E107" i="16"/>
  <c r="E105" i="16"/>
  <c r="E9" i="16"/>
  <c r="E49" i="16"/>
  <c r="E75" i="16"/>
  <c r="E87" i="16"/>
  <c r="E51" i="16"/>
  <c r="E19" i="16"/>
  <c r="E23" i="16"/>
  <c r="E91" i="16"/>
  <c r="E62" i="16"/>
  <c r="E27" i="16"/>
  <c r="E66" i="16"/>
  <c r="E21" i="16"/>
  <c r="E10" i="16"/>
  <c r="E72" i="16"/>
  <c r="E78" i="16"/>
  <c r="E106" i="16"/>
  <c r="E77" i="16"/>
  <c r="E52" i="16"/>
  <c r="E53" i="16"/>
  <c r="E37" i="16"/>
  <c r="E31" i="16"/>
  <c r="E25" i="16"/>
  <c r="E36" i="16"/>
  <c r="E96" i="16"/>
  <c r="E90" i="16"/>
  <c r="E50" i="16"/>
  <c r="E18" i="16"/>
  <c r="E108" i="16"/>
  <c r="E84" i="16"/>
  <c r="E38" i="16"/>
  <c r="AH11" i="14"/>
  <c r="AH92" i="14"/>
  <c r="AH12" i="14"/>
  <c r="AH31" i="14"/>
  <c r="F12" i="1"/>
  <c r="E67" i="16"/>
  <c r="E93" i="16"/>
  <c r="F13" i="1"/>
  <c r="E83" i="16"/>
  <c r="E64" i="16"/>
  <c r="E42" i="16"/>
  <c r="E35" i="16"/>
  <c r="E15" i="16"/>
  <c r="F17" i="1"/>
  <c r="F23" i="1"/>
  <c r="E92" i="16"/>
  <c r="E61" i="16"/>
  <c r="E99" i="16"/>
  <c r="E43" i="16"/>
  <c r="E13" i="16"/>
  <c r="E69" i="16"/>
  <c r="E97" i="16"/>
  <c r="F16" i="1"/>
  <c r="E34" i="16"/>
  <c r="F14" i="1"/>
  <c r="E79" i="16"/>
  <c r="E28" i="16"/>
  <c r="E104" i="16"/>
  <c r="E102" i="16"/>
  <c r="E26" i="16"/>
  <c r="AH94" i="14"/>
  <c r="F19" i="1"/>
  <c r="F11" i="5"/>
  <c r="F13" i="5"/>
  <c r="F25" i="1"/>
  <c r="F22" i="1"/>
  <c r="F11" i="1"/>
  <c r="AF19" i="1"/>
  <c r="F14" i="4"/>
  <c r="F13" i="4"/>
  <c r="F12" i="4"/>
  <c r="F15" i="4"/>
  <c r="F15" i="1"/>
  <c r="F20" i="1"/>
  <c r="F21" i="1"/>
  <c r="F24" i="1"/>
  <c r="F18" i="1"/>
  <c r="F16" i="4"/>
  <c r="F19" i="4"/>
  <c r="F26" i="1"/>
  <c r="F21" i="4"/>
  <c r="F20" i="4"/>
  <c r="F18" i="4"/>
  <c r="F28" i="1"/>
  <c r="F17" i="4"/>
  <c r="F27" i="1"/>
  <c r="H119" i="16"/>
  <c r="L119" i="16" s="1"/>
  <c r="G119" i="16"/>
  <c r="K119" i="16"/>
  <c r="J119" i="16"/>
  <c r="I119" i="16"/>
  <c r="F119" i="16"/>
  <c r="D119" i="16"/>
  <c r="C119" i="16"/>
  <c r="E119" i="16" s="1"/>
  <c r="J112" i="16"/>
  <c r="I112" i="16"/>
  <c r="H112" i="16"/>
  <c r="L112" i="16" s="1"/>
  <c r="G112" i="16"/>
  <c r="F112" i="16"/>
  <c r="D112" i="16"/>
  <c r="C112" i="16"/>
  <c r="E112" i="16" s="1"/>
  <c r="H135" i="16"/>
  <c r="G135" i="16"/>
  <c r="F135" i="16"/>
  <c r="L135" i="16"/>
  <c r="K135" i="16"/>
  <c r="J135" i="16"/>
  <c r="I135" i="16"/>
  <c r="D135" i="16"/>
  <c r="C135" i="16"/>
  <c r="E135" i="16" s="1"/>
  <c r="F116" i="16"/>
  <c r="H116" i="16"/>
  <c r="L116" i="16" s="1"/>
  <c r="G116" i="16"/>
  <c r="D116" i="16"/>
  <c r="C116" i="16"/>
  <c r="E116" i="16" s="1"/>
  <c r="J130" i="16"/>
  <c r="I130" i="16"/>
  <c r="H130" i="16"/>
  <c r="C130" i="16"/>
  <c r="E130" i="16" s="1"/>
  <c r="L130" i="16"/>
  <c r="K130" i="16"/>
  <c r="G130" i="16"/>
  <c r="F130" i="16"/>
  <c r="D130" i="16"/>
  <c r="F148" i="16"/>
  <c r="D148" i="16"/>
  <c r="L148" i="16"/>
  <c r="K148" i="16"/>
  <c r="J148" i="16"/>
  <c r="H148" i="16"/>
  <c r="I148" i="16" s="1"/>
  <c r="G148" i="16"/>
  <c r="C148" i="16"/>
  <c r="E148" i="16" s="1"/>
  <c r="F156" i="16"/>
  <c r="D156" i="16"/>
  <c r="J156" i="16"/>
  <c r="I156" i="16"/>
  <c r="H156" i="16"/>
  <c r="K156" i="16" s="1"/>
  <c r="G156" i="16"/>
  <c r="C156" i="16"/>
  <c r="E156" i="16" s="1"/>
  <c r="F140" i="16"/>
  <c r="D140" i="16"/>
  <c r="H140" i="16"/>
  <c r="L140" i="16" s="1"/>
  <c r="G140" i="16"/>
  <c r="C140" i="16"/>
  <c r="E140" i="16" s="1"/>
  <c r="L133" i="16"/>
  <c r="H133" i="16"/>
  <c r="K133" i="16" s="1"/>
  <c r="G133" i="16"/>
  <c r="F133" i="16"/>
  <c r="D133" i="16"/>
  <c r="C133" i="16"/>
  <c r="E133" i="16" s="1"/>
  <c r="F124" i="16"/>
  <c r="D124" i="16"/>
  <c r="C124" i="16"/>
  <c r="E124" i="16" s="1"/>
  <c r="H124" i="16"/>
  <c r="L124" i="16" s="1"/>
  <c r="G124" i="16"/>
  <c r="L152" i="16"/>
  <c r="K152" i="16"/>
  <c r="J152" i="16"/>
  <c r="I152" i="16"/>
  <c r="H152" i="16"/>
  <c r="G152" i="16"/>
  <c r="F152" i="16"/>
  <c r="D152" i="16"/>
  <c r="C152" i="16"/>
  <c r="E152" i="16" s="1"/>
  <c r="D129" i="16"/>
  <c r="C129" i="16"/>
  <c r="E129" i="16" s="1"/>
  <c r="L129" i="16"/>
  <c r="K129" i="16"/>
  <c r="J129" i="16"/>
  <c r="H129" i="16"/>
  <c r="I129" i="16" s="1"/>
  <c r="G129" i="16"/>
  <c r="F129" i="16"/>
  <c r="D126" i="16"/>
  <c r="C126" i="16"/>
  <c r="E126" i="16" s="1"/>
  <c r="G126" i="16"/>
  <c r="F126" i="16"/>
  <c r="L126" i="16"/>
  <c r="H126" i="16"/>
  <c r="K126" i="16" s="1"/>
  <c r="F132" i="16"/>
  <c r="D132" i="16"/>
  <c r="H132" i="16"/>
  <c r="I132" i="16" s="1"/>
  <c r="G132" i="16"/>
  <c r="C132" i="16"/>
  <c r="E132" i="16" s="1"/>
  <c r="J132" i="16"/>
  <c r="C142" i="16"/>
  <c r="E142" i="16" s="1"/>
  <c r="H142" i="16"/>
  <c r="L142" i="16" s="1"/>
  <c r="G142" i="16"/>
  <c r="F142" i="16"/>
  <c r="D142" i="16"/>
  <c r="D128" i="16"/>
  <c r="C128" i="16"/>
  <c r="E128" i="16" s="1"/>
  <c r="H128" i="16"/>
  <c r="L128" i="16" s="1"/>
  <c r="G128" i="16"/>
  <c r="F128" i="16"/>
  <c r="L144" i="16"/>
  <c r="K144" i="16"/>
  <c r="J144" i="16"/>
  <c r="I144" i="16"/>
  <c r="H144" i="16"/>
  <c r="G144" i="16"/>
  <c r="F144" i="16"/>
  <c r="D144" i="16"/>
  <c r="C144" i="16"/>
  <c r="E144" i="16" s="1"/>
  <c r="H110" i="16"/>
  <c r="L110" i="16" s="1"/>
  <c r="G110" i="16"/>
  <c r="F110" i="16"/>
  <c r="D110" i="16"/>
  <c r="C110" i="16"/>
  <c r="E110" i="16" s="1"/>
  <c r="H114" i="16"/>
  <c r="K114" i="16" s="1"/>
  <c r="G114" i="16"/>
  <c r="F114" i="16"/>
  <c r="D114" i="16"/>
  <c r="C114" i="16"/>
  <c r="E114" i="16" s="1"/>
  <c r="H155" i="16"/>
  <c r="I155" i="16" s="1"/>
  <c r="G155" i="16"/>
  <c r="F155" i="16"/>
  <c r="D155" i="16"/>
  <c r="C155" i="16"/>
  <c r="E155" i="16" s="1"/>
  <c r="L155" i="16"/>
  <c r="K155" i="16"/>
  <c r="J155" i="16"/>
  <c r="J154" i="16"/>
  <c r="I154" i="16"/>
  <c r="H154" i="16"/>
  <c r="L154" i="16"/>
  <c r="K154" i="16"/>
  <c r="G154" i="16"/>
  <c r="F154" i="16"/>
  <c r="D154" i="16"/>
  <c r="C154" i="16"/>
  <c r="E154" i="16" s="1"/>
  <c r="D113" i="16"/>
  <c r="C113" i="16"/>
  <c r="E113" i="16" s="1"/>
  <c r="L113" i="16"/>
  <c r="K113" i="16"/>
  <c r="J113" i="16"/>
  <c r="H113" i="16"/>
  <c r="I113" i="16" s="1"/>
  <c r="G113" i="16"/>
  <c r="F113" i="16"/>
  <c r="L85" i="16"/>
  <c r="K85" i="16"/>
  <c r="J85" i="16"/>
  <c r="I85" i="16"/>
  <c r="H118" i="16"/>
  <c r="G118" i="16"/>
  <c r="F118" i="16"/>
  <c r="D118" i="16"/>
  <c r="C118" i="16"/>
  <c r="E118" i="16" s="1"/>
  <c r="L118" i="16"/>
  <c r="K118" i="16"/>
  <c r="J118" i="16"/>
  <c r="I118" i="16"/>
  <c r="I158" i="16"/>
  <c r="L117" i="16"/>
  <c r="K117" i="16"/>
  <c r="D117" i="16"/>
  <c r="C117" i="16"/>
  <c r="E117" i="16" s="1"/>
  <c r="J117" i="16"/>
  <c r="I117" i="16"/>
  <c r="H117" i="16"/>
  <c r="G117" i="16"/>
  <c r="F117" i="16"/>
  <c r="J115" i="16"/>
  <c r="I115" i="16"/>
  <c r="H115" i="16"/>
  <c r="L115" i="16" s="1"/>
  <c r="G115" i="16"/>
  <c r="F115" i="16"/>
  <c r="D115" i="16"/>
  <c r="C115" i="16"/>
  <c r="E115" i="16" s="1"/>
  <c r="F120" i="16"/>
  <c r="D120" i="16"/>
  <c r="C120" i="16"/>
  <c r="E120" i="16" s="1"/>
  <c r="L120" i="16"/>
  <c r="K120" i="16"/>
  <c r="J120" i="16"/>
  <c r="H120" i="16"/>
  <c r="I120" i="16" s="1"/>
  <c r="G120" i="16"/>
  <c r="J158" i="16"/>
  <c r="J139" i="16"/>
  <c r="I139" i="16"/>
  <c r="H139" i="16"/>
  <c r="L139" i="16" s="1"/>
  <c r="G139" i="16"/>
  <c r="F139" i="16"/>
  <c r="D139" i="16"/>
  <c r="C139" i="16"/>
  <c r="E139" i="16" s="1"/>
  <c r="D150" i="16"/>
  <c r="C150" i="16"/>
  <c r="E150" i="16" s="1"/>
  <c r="J150" i="16"/>
  <c r="I150" i="16"/>
  <c r="H150" i="16"/>
  <c r="L150" i="16" s="1"/>
  <c r="G150" i="16"/>
  <c r="F150" i="16"/>
  <c r="D134" i="16"/>
  <c r="C134" i="16"/>
  <c r="E134" i="16" s="1"/>
  <c r="K134" i="16"/>
  <c r="H134" i="16"/>
  <c r="L134" i="16" s="1"/>
  <c r="G134" i="16"/>
  <c r="F134" i="16"/>
  <c r="L157" i="16"/>
  <c r="K157" i="16"/>
  <c r="J157" i="16"/>
  <c r="H157" i="16"/>
  <c r="G157" i="16"/>
  <c r="F157" i="16"/>
  <c r="D157" i="16"/>
  <c r="C157" i="16"/>
  <c r="E157" i="16" s="1"/>
  <c r="I157" i="16"/>
  <c r="L131" i="16"/>
  <c r="K131" i="16"/>
  <c r="J131" i="16"/>
  <c r="I131" i="16"/>
  <c r="H131" i="16"/>
  <c r="G131" i="16"/>
  <c r="F131" i="16"/>
  <c r="D131" i="16"/>
  <c r="C131" i="16"/>
  <c r="E131" i="16" s="1"/>
  <c r="D137" i="16"/>
  <c r="C137" i="16"/>
  <c r="E137" i="16" s="1"/>
  <c r="J137" i="16"/>
  <c r="I137" i="16"/>
  <c r="H137" i="16"/>
  <c r="L137" i="16" s="1"/>
  <c r="G137" i="16"/>
  <c r="F137" i="16"/>
  <c r="H143" i="16"/>
  <c r="K143" i="16" s="1"/>
  <c r="G143" i="16"/>
  <c r="F143" i="16"/>
  <c r="L143" i="16"/>
  <c r="J143" i="16"/>
  <c r="I143" i="16"/>
  <c r="D143" i="16"/>
  <c r="C143" i="16"/>
  <c r="E143" i="16" s="1"/>
  <c r="H147" i="16"/>
  <c r="I147" i="16" s="1"/>
  <c r="G147" i="16"/>
  <c r="F147" i="16"/>
  <c r="D147" i="16"/>
  <c r="L147" i="16"/>
  <c r="K147" i="16"/>
  <c r="C147" i="16"/>
  <c r="E147" i="16" s="1"/>
  <c r="I122" i="16"/>
  <c r="H122" i="16"/>
  <c r="J122" i="16" s="1"/>
  <c r="D122" i="16"/>
  <c r="C122" i="16"/>
  <c r="E122" i="16" s="1"/>
  <c r="L122" i="16"/>
  <c r="K122" i="16"/>
  <c r="G122" i="16"/>
  <c r="F122" i="16"/>
  <c r="K158" i="16"/>
  <c r="J138" i="16"/>
  <c r="I138" i="16"/>
  <c r="H138" i="16"/>
  <c r="L138" i="16"/>
  <c r="K138" i="16"/>
  <c r="G138" i="16"/>
  <c r="F138" i="16"/>
  <c r="D138" i="16"/>
  <c r="C138" i="16"/>
  <c r="E138" i="16" s="1"/>
  <c r="L136" i="16"/>
  <c r="C136" i="16"/>
  <c r="E136" i="16" s="1"/>
  <c r="D136" i="16"/>
  <c r="K136" i="16"/>
  <c r="J136" i="16"/>
  <c r="H136" i="16"/>
  <c r="I136" i="16" s="1"/>
  <c r="G136" i="16"/>
  <c r="F136" i="16"/>
  <c r="K123" i="16"/>
  <c r="H123" i="16"/>
  <c r="L123" i="16" s="1"/>
  <c r="C123" i="16"/>
  <c r="E123" i="16" s="1"/>
  <c r="G123" i="16"/>
  <c r="F123" i="16"/>
  <c r="D123" i="16"/>
  <c r="D153" i="16"/>
  <c r="C153" i="16"/>
  <c r="E153" i="16" s="1"/>
  <c r="J153" i="16"/>
  <c r="I153" i="16"/>
  <c r="H153" i="16"/>
  <c r="G153" i="16"/>
  <c r="F153" i="16"/>
  <c r="K153" i="16"/>
  <c r="L153" i="16"/>
  <c r="H149" i="16"/>
  <c r="I149" i="16" s="1"/>
  <c r="G149" i="16"/>
  <c r="F149" i="16"/>
  <c r="D149" i="16"/>
  <c r="C149" i="16"/>
  <c r="E149" i="16" s="1"/>
  <c r="I141" i="16"/>
  <c r="H141" i="16"/>
  <c r="J141" i="16" s="1"/>
  <c r="G141" i="16"/>
  <c r="F141" i="16"/>
  <c r="D141" i="16"/>
  <c r="C141" i="16"/>
  <c r="E141" i="16" s="1"/>
  <c r="D121" i="16"/>
  <c r="C121" i="16"/>
  <c r="E121" i="16" s="1"/>
  <c r="L121" i="16"/>
  <c r="K121" i="16"/>
  <c r="I121" i="16"/>
  <c r="H121" i="16"/>
  <c r="J121" i="16" s="1"/>
  <c r="G121" i="16"/>
  <c r="F121" i="16"/>
  <c r="H127" i="16"/>
  <c r="L127" i="16" s="1"/>
  <c r="G127" i="16"/>
  <c r="F127" i="16"/>
  <c r="K127" i="16"/>
  <c r="J127" i="16"/>
  <c r="I127" i="16"/>
  <c r="D127" i="16"/>
  <c r="C127" i="16"/>
  <c r="E127" i="16" s="1"/>
  <c r="K125" i="16"/>
  <c r="J125" i="16"/>
  <c r="I125" i="16"/>
  <c r="H125" i="16"/>
  <c r="L125" i="16" s="1"/>
  <c r="G125" i="16"/>
  <c r="F125" i="16"/>
  <c r="D125" i="16"/>
  <c r="C125" i="16"/>
  <c r="E125" i="16" s="1"/>
  <c r="H146" i="16"/>
  <c r="L146" i="16" s="1"/>
  <c r="F146" i="16"/>
  <c r="D146" i="16"/>
  <c r="C146" i="16"/>
  <c r="E146" i="16" s="1"/>
  <c r="G146" i="16"/>
  <c r="H111" i="16"/>
  <c r="G111" i="16"/>
  <c r="D111" i="16"/>
  <c r="C111" i="16"/>
  <c r="E111" i="16" s="1"/>
  <c r="F111" i="16"/>
  <c r="L111" i="16"/>
  <c r="K111" i="16"/>
  <c r="J111" i="16"/>
  <c r="I111" i="16"/>
  <c r="L109" i="16"/>
  <c r="F109" i="16"/>
  <c r="D109" i="16"/>
  <c r="C109" i="16"/>
  <c r="E109" i="16" s="1"/>
  <c r="J109" i="16"/>
  <c r="I109" i="16"/>
  <c r="H109" i="16"/>
  <c r="K109" i="16" s="1"/>
  <c r="G109" i="16"/>
  <c r="D145" i="16"/>
  <c r="C145" i="16"/>
  <c r="E145" i="16" s="1"/>
  <c r="K145" i="16"/>
  <c r="J145" i="16"/>
  <c r="H145" i="16"/>
  <c r="I145" i="16" s="1"/>
  <c r="G145" i="16"/>
  <c r="F145" i="16"/>
  <c r="L145" i="16"/>
  <c r="H151" i="16"/>
  <c r="K151" i="16" s="1"/>
  <c r="G151" i="16"/>
  <c r="F151" i="16"/>
  <c r="I151" i="16"/>
  <c r="D151" i="16"/>
  <c r="C151" i="16"/>
  <c r="E151" i="16" s="1"/>
  <c r="L151" i="16"/>
  <c r="N160" i="14"/>
  <c r="P160" i="14" s="1"/>
  <c r="M160" i="14"/>
  <c r="K160" i="14"/>
  <c r="K57" i="16"/>
  <c r="J32" i="16"/>
  <c r="I47" i="16"/>
  <c r="L57" i="16"/>
  <c r="L32" i="16"/>
  <c r="I32" i="16"/>
  <c r="K32" i="16"/>
  <c r="J57" i="16"/>
  <c r="I57" i="16"/>
  <c r="J47" i="16"/>
  <c r="L95" i="16"/>
  <c r="K95" i="16"/>
  <c r="J95" i="16"/>
  <c r="I95" i="16"/>
  <c r="K47" i="16"/>
  <c r="L47" i="16"/>
  <c r="Q160" i="14" a="1"/>
  <c r="Q160" i="14" l="1"/>
  <c r="W160" i="14"/>
  <c r="J160" i="14"/>
  <c r="I116" i="16"/>
  <c r="I146" i="16"/>
  <c r="K141" i="16"/>
  <c r="J149" i="16"/>
  <c r="K137" i="16"/>
  <c r="K150" i="16"/>
  <c r="K139" i="16"/>
  <c r="L114" i="16"/>
  <c r="I142" i="16"/>
  <c r="K132" i="16"/>
  <c r="L156" i="16"/>
  <c r="J116" i="16"/>
  <c r="J151" i="16"/>
  <c r="J146" i="16"/>
  <c r="L141" i="16"/>
  <c r="K149" i="16"/>
  <c r="I123" i="16"/>
  <c r="I134" i="16"/>
  <c r="I114" i="16"/>
  <c r="J142" i="16"/>
  <c r="L132" i="16"/>
  <c r="L149" i="16"/>
  <c r="J123" i="16"/>
  <c r="J134" i="16"/>
  <c r="J114" i="16"/>
  <c r="J147" i="16"/>
  <c r="J110" i="16"/>
  <c r="J128" i="16"/>
  <c r="I126" i="16"/>
  <c r="I133" i="16"/>
  <c r="J140" i="16"/>
  <c r="I128" i="16"/>
  <c r="I140" i="16"/>
  <c r="K110" i="16"/>
  <c r="K128" i="16"/>
  <c r="J126" i="16"/>
  <c r="J133" i="16"/>
  <c r="K140" i="16"/>
  <c r="I110" i="16"/>
  <c r="I124" i="16"/>
  <c r="K116" i="16"/>
  <c r="K146" i="16"/>
  <c r="K115" i="16"/>
  <c r="K142" i="16"/>
  <c r="J124" i="16"/>
  <c r="K112" i="16"/>
  <c r="K124" i="16"/>
  <c r="H160" i="14"/>
  <c r="G160" i="14"/>
  <c r="AJ160" i="14" s="1"/>
  <c r="F160" i="14"/>
  <c r="E160" i="14"/>
  <c r="D160" i="14"/>
  <c r="C160" i="14"/>
  <c r="AU159" i="14"/>
  <c r="AT159" i="14"/>
  <c r="AS159" i="14"/>
  <c r="AR159" i="14"/>
  <c r="AQ159" i="14"/>
  <c r="AP159" i="14"/>
  <c r="AO159" i="14"/>
  <c r="AN159" i="14"/>
  <c r="AM159" i="14"/>
  <c r="AL159" i="14"/>
  <c r="AK159" i="14"/>
  <c r="AI159" i="14" a="1"/>
  <c r="AI159" i="14" s="1"/>
  <c r="AH159" i="14"/>
  <c r="AF159" i="14"/>
  <c r="AE159" i="14"/>
  <c r="AD159" i="14"/>
  <c r="AC159" i="14"/>
  <c r="AB159" i="14"/>
  <c r="AA159" i="14"/>
  <c r="Z159" i="14"/>
  <c r="Y159" i="14"/>
  <c r="X159" i="14"/>
  <c r="V159" i="14"/>
  <c r="U159" i="14"/>
  <c r="N159" i="14"/>
  <c r="P159" i="14" s="1"/>
  <c r="M159" i="14"/>
  <c r="K159" i="14"/>
  <c r="Q159" i="14" a="1"/>
  <c r="Q159" i="14" l="1"/>
  <c r="W159" i="14"/>
  <c r="J159" i="14"/>
  <c r="H159" i="14"/>
  <c r="G159" i="14"/>
  <c r="AJ159" i="14" s="1"/>
  <c r="F159" i="14"/>
  <c r="E159" i="14"/>
  <c r="D159" i="14"/>
  <c r="C159" i="14"/>
  <c r="AU158" i="14"/>
  <c r="AT158" i="14"/>
  <c r="AS158" i="14"/>
  <c r="AR158" i="14"/>
  <c r="AQ158" i="14"/>
  <c r="AP158" i="14"/>
  <c r="AO158" i="14"/>
  <c r="AN158" i="14"/>
  <c r="AM158" i="14"/>
  <c r="AL158" i="14"/>
  <c r="AK158" i="14"/>
  <c r="AI158" i="14" a="1"/>
  <c r="AI158" i="14" s="1"/>
  <c r="AH158" i="14"/>
  <c r="AF158" i="14"/>
  <c r="AE158" i="14"/>
  <c r="AD158" i="14"/>
  <c r="AC158" i="14"/>
  <c r="AB158" i="14"/>
  <c r="AA158" i="14"/>
  <c r="Z158" i="14"/>
  <c r="Y158" i="14"/>
  <c r="X158" i="14"/>
  <c r="V158" i="14"/>
  <c r="U158" i="14"/>
  <c r="N158" i="14"/>
  <c r="P158" i="14" s="1"/>
  <c r="M158" i="14"/>
  <c r="K158" i="14"/>
  <c r="Q158" i="14" a="1"/>
  <c r="Q158" i="14" l="1"/>
  <c r="W158" i="14"/>
  <c r="J158" i="14"/>
  <c r="H158" i="14"/>
  <c r="G158" i="14"/>
  <c r="AJ158" i="14" s="1"/>
  <c r="F158" i="14"/>
  <c r="E158" i="14"/>
  <c r="D158" i="14"/>
  <c r="C158" i="14"/>
  <c r="AU157" i="14"/>
  <c r="AT157" i="14"/>
  <c r="AS157" i="14"/>
  <c r="AR157" i="14"/>
  <c r="AQ157" i="14"/>
  <c r="AP157" i="14"/>
  <c r="AO157" i="14"/>
  <c r="AN157" i="14"/>
  <c r="AM157" i="14"/>
  <c r="AL157" i="14"/>
  <c r="AK157" i="14"/>
  <c r="AI157" i="14"/>
  <c r="AI157" i="14" a="1"/>
  <c r="AH157" i="14"/>
  <c r="AF157" i="14"/>
  <c r="AE157" i="14"/>
  <c r="AD157" i="14"/>
  <c r="AC157" i="14"/>
  <c r="AB157" i="14"/>
  <c r="AA157" i="14"/>
  <c r="Z157" i="14"/>
  <c r="Y157" i="14"/>
  <c r="X157" i="14"/>
  <c r="V157" i="14"/>
  <c r="U157" i="14"/>
  <c r="N157" i="14"/>
  <c r="P157" i="14" s="1"/>
  <c r="M157" i="14"/>
  <c r="K157" i="14"/>
  <c r="Q157" i="14" a="1"/>
  <c r="Q157" i="14" l="1"/>
  <c r="W157" i="14"/>
  <c r="J157" i="14"/>
  <c r="H157" i="14"/>
  <c r="G157" i="14"/>
  <c r="AJ157" i="14" s="1"/>
  <c r="F157" i="14"/>
  <c r="E157" i="14"/>
  <c r="D157" i="14"/>
  <c r="C157" i="14"/>
  <c r="AU156" i="14"/>
  <c r="AT156" i="14"/>
  <c r="AS156" i="14"/>
  <c r="AR156" i="14"/>
  <c r="AQ156" i="14"/>
  <c r="AP156" i="14"/>
  <c r="AO156" i="14"/>
  <c r="AN156" i="14"/>
  <c r="AM156" i="14"/>
  <c r="AL156" i="14"/>
  <c r="AK156" i="14"/>
  <c r="AI156" i="14" a="1"/>
  <c r="AI156" i="14" s="1"/>
  <c r="AH156" i="14"/>
  <c r="AF156" i="14"/>
  <c r="AE156" i="14"/>
  <c r="AD156" i="14"/>
  <c r="AC156" i="14"/>
  <c r="AB156" i="14"/>
  <c r="AA156" i="14"/>
  <c r="Z156" i="14"/>
  <c r="Y156" i="14"/>
  <c r="X156" i="14"/>
  <c r="V156" i="14"/>
  <c r="U156" i="14"/>
  <c r="N156" i="14"/>
  <c r="P156" i="14" s="1"/>
  <c r="M156" i="14"/>
  <c r="K156" i="14"/>
  <c r="Q156" i="14" a="1"/>
  <c r="Q156" i="14" l="1"/>
  <c r="W156" i="14"/>
  <c r="J156" i="14"/>
  <c r="H156" i="14"/>
  <c r="G156" i="14"/>
  <c r="AJ156" i="14" s="1"/>
  <c r="F156" i="14"/>
  <c r="E156" i="14"/>
  <c r="D156" i="14"/>
  <c r="C156" i="14"/>
  <c r="AU155" i="14"/>
  <c r="AT155" i="14"/>
  <c r="AS155" i="14"/>
  <c r="AR155" i="14"/>
  <c r="AQ155" i="14"/>
  <c r="AP155" i="14"/>
  <c r="AO155" i="14"/>
  <c r="AN155" i="14"/>
  <c r="AM155" i="14"/>
  <c r="AL155" i="14"/>
  <c r="AK155" i="14"/>
  <c r="AI155" i="14" a="1"/>
  <c r="AI155" i="14" s="1"/>
  <c r="AH155" i="14"/>
  <c r="AF155" i="14"/>
  <c r="AE155" i="14"/>
  <c r="AD155" i="14"/>
  <c r="AC155" i="14" s="1"/>
  <c r="AB155" i="14"/>
  <c r="AA155" i="14"/>
  <c r="Z155" i="14"/>
  <c r="Y155" i="14"/>
  <c r="X155" i="14"/>
  <c r="V155" i="14"/>
  <c r="U155" i="14"/>
  <c r="N155" i="14"/>
  <c r="P155" i="14" s="1"/>
  <c r="M155" i="14"/>
  <c r="K155" i="14"/>
  <c r="Q155" i="14" a="1"/>
  <c r="Q155" i="14" l="1"/>
  <c r="W155" i="14"/>
  <c r="J155" i="14"/>
  <c r="H155" i="14"/>
  <c r="G155" i="14"/>
  <c r="AJ155" i="14" s="1"/>
  <c r="F155" i="14"/>
  <c r="E155" i="14"/>
  <c r="D155" i="14"/>
  <c r="C155" i="14"/>
  <c r="AU154" i="14"/>
  <c r="AT154" i="14"/>
  <c r="AS154" i="14"/>
  <c r="AR154" i="14"/>
  <c r="AQ154" i="14"/>
  <c r="AP154" i="14"/>
  <c r="AO154" i="14"/>
  <c r="AN154" i="14"/>
  <c r="AM154" i="14"/>
  <c r="AL154" i="14"/>
  <c r="AK154" i="14"/>
  <c r="AI154" i="14" a="1"/>
  <c r="AI154" i="14" s="1"/>
  <c r="AH154" i="14"/>
  <c r="AF154" i="14"/>
  <c r="AE154" i="14"/>
  <c r="AD154" i="14"/>
  <c r="AC154" i="14" s="1"/>
  <c r="AB154" i="14"/>
  <c r="AA154" i="14"/>
  <c r="Z154" i="14"/>
  <c r="Y154" i="14"/>
  <c r="X154" i="14"/>
  <c r="V154" i="14"/>
  <c r="U154" i="14"/>
  <c r="N154" i="14"/>
  <c r="P154" i="14" s="1"/>
  <c r="M154" i="14"/>
  <c r="K154" i="14"/>
  <c r="Q154" i="14" a="1"/>
  <c r="Q154" i="14" l="1"/>
  <c r="W154" i="14"/>
  <c r="J154" i="14"/>
  <c r="H154" i="14"/>
  <c r="G154" i="14"/>
  <c r="AJ154" i="14" s="1"/>
  <c r="F154" i="14"/>
  <c r="E154" i="14"/>
  <c r="D154" i="14"/>
  <c r="C154" i="14"/>
  <c r="AU153" i="14"/>
  <c r="AT153" i="14"/>
  <c r="AS153" i="14"/>
  <c r="AR153" i="14"/>
  <c r="AQ153" i="14"/>
  <c r="AP153" i="14"/>
  <c r="AO153" i="14"/>
  <c r="AN153" i="14"/>
  <c r="AM153" i="14"/>
  <c r="AL153" i="14"/>
  <c r="AK153" i="14"/>
  <c r="AI153" i="14" a="1"/>
  <c r="AI153" i="14" s="1"/>
  <c r="AH153" i="14"/>
  <c r="AF153" i="14"/>
  <c r="AE153" i="14"/>
  <c r="AD153" i="14"/>
  <c r="AC153" i="14" s="1"/>
  <c r="AB153" i="14"/>
  <c r="AA153" i="14"/>
  <c r="Z153" i="14"/>
  <c r="Y153" i="14"/>
  <c r="X153" i="14"/>
  <c r="V153" i="14"/>
  <c r="U153" i="14"/>
  <c r="N153" i="14"/>
  <c r="P153" i="14" s="1"/>
  <c r="M153" i="14"/>
  <c r="K153" i="14"/>
  <c r="Q153" i="14" a="1"/>
  <c r="Q153" i="14" l="1"/>
  <c r="W153" i="14"/>
  <c r="J153" i="14"/>
  <c r="H153" i="14"/>
  <c r="G153" i="14"/>
  <c r="AJ153" i="14" s="1"/>
  <c r="F153" i="14"/>
  <c r="E153" i="14"/>
  <c r="D153" i="14"/>
  <c r="C153" i="14"/>
  <c r="AU152" i="14"/>
  <c r="AT152" i="14"/>
  <c r="AS152" i="14"/>
  <c r="AR152" i="14"/>
  <c r="AQ152" i="14"/>
  <c r="AP152" i="14"/>
  <c r="AO152" i="14"/>
  <c r="AN152" i="14"/>
  <c r="AM152" i="14"/>
  <c r="AL152" i="14"/>
  <c r="AK152" i="14"/>
  <c r="AI152" i="14" a="1"/>
  <c r="AI152" i="14" s="1"/>
  <c r="AH152" i="14"/>
  <c r="AF152" i="14"/>
  <c r="AE152" i="14"/>
  <c r="AD152" i="14"/>
  <c r="AC152" i="14"/>
  <c r="AB152" i="14"/>
  <c r="AA152" i="14"/>
  <c r="Z152" i="14"/>
  <c r="Y152" i="14"/>
  <c r="X152" i="14"/>
  <c r="V152" i="14"/>
  <c r="U152" i="14"/>
  <c r="N152" i="14"/>
  <c r="P152" i="14" s="1"/>
  <c r="M152" i="14"/>
  <c r="K152" i="14"/>
  <c r="Q152" i="14" a="1"/>
  <c r="Q152" i="14" l="1"/>
  <c r="W152" i="14"/>
  <c r="J152" i="14"/>
  <c r="H152" i="14"/>
  <c r="G152" i="14"/>
  <c r="AJ152" i="14" s="1"/>
  <c r="F152" i="14"/>
  <c r="E152" i="14"/>
  <c r="D152" i="14"/>
  <c r="C152" i="14"/>
  <c r="AU151" i="14"/>
  <c r="AT151" i="14"/>
  <c r="AS151" i="14"/>
  <c r="AR151" i="14"/>
  <c r="AQ151" i="14"/>
  <c r="AP151" i="14"/>
  <c r="AO151" i="14"/>
  <c r="AN151" i="14"/>
  <c r="AM151" i="14"/>
  <c r="AL151" i="14"/>
  <c r="AK151" i="14"/>
  <c r="AI151" i="14" a="1"/>
  <c r="AI151" i="14" s="1"/>
  <c r="AH151" i="14"/>
  <c r="AF151" i="14"/>
  <c r="AE151" i="14"/>
  <c r="AD151" i="14"/>
  <c r="AC151" i="14"/>
  <c r="AB151" i="14"/>
  <c r="AA151" i="14"/>
  <c r="Z151" i="14"/>
  <c r="Y151" i="14"/>
  <c r="X151" i="14"/>
  <c r="V151" i="14"/>
  <c r="U151" i="14"/>
  <c r="N151" i="14"/>
  <c r="P151" i="14" s="1"/>
  <c r="M151" i="14"/>
  <c r="K151" i="14"/>
  <c r="Q151" i="14" a="1"/>
  <c r="Q151" i="14" l="1"/>
  <c r="W151" i="14"/>
  <c r="J151" i="14"/>
  <c r="H151" i="14"/>
  <c r="G151" i="14"/>
  <c r="AJ151" i="14" s="1"/>
  <c r="F151" i="14"/>
  <c r="E151" i="14"/>
  <c r="D151" i="14"/>
  <c r="C151" i="14"/>
  <c r="AU150" i="14"/>
  <c r="AT150" i="14"/>
  <c r="AS150" i="14"/>
  <c r="AR150" i="14"/>
  <c r="AQ150" i="14"/>
  <c r="AP150" i="14"/>
  <c r="AO150" i="14"/>
  <c r="AN150" i="14"/>
  <c r="AM150" i="14"/>
  <c r="AL150" i="14"/>
  <c r="AK150" i="14"/>
  <c r="AI150" i="14" a="1"/>
  <c r="AI150" i="14" s="1"/>
  <c r="AH150" i="14"/>
  <c r="AF150" i="14"/>
  <c r="AE150" i="14"/>
  <c r="AD150" i="14"/>
  <c r="AC150" i="14"/>
  <c r="AB150" i="14"/>
  <c r="AA150" i="14"/>
  <c r="Z150" i="14"/>
  <c r="Y150" i="14"/>
  <c r="X150" i="14"/>
  <c r="V150" i="14"/>
  <c r="U150" i="14"/>
  <c r="N150" i="14"/>
  <c r="P150" i="14" s="1"/>
  <c r="M150" i="14"/>
  <c r="K150" i="14"/>
  <c r="Q150" i="14" a="1"/>
  <c r="Q150" i="14" l="1"/>
  <c r="W150" i="14"/>
  <c r="J150" i="14"/>
  <c r="H150" i="14"/>
  <c r="G150" i="14"/>
  <c r="AJ150" i="14" s="1"/>
  <c r="F150" i="14"/>
  <c r="E150" i="14"/>
  <c r="D150" i="14"/>
  <c r="C150" i="14"/>
  <c r="AU149" i="14"/>
  <c r="AT149" i="14"/>
  <c r="AS149" i="14"/>
  <c r="AR149" i="14"/>
  <c r="AQ149" i="14"/>
  <c r="AP149" i="14"/>
  <c r="AO149" i="14"/>
  <c r="AN149" i="14"/>
  <c r="AM149" i="14"/>
  <c r="AL149" i="14"/>
  <c r="AK149" i="14"/>
  <c r="AI149" i="14" a="1"/>
  <c r="AI149" i="14" s="1"/>
  <c r="AH149" i="14"/>
  <c r="AF149" i="14"/>
  <c r="AE149" i="14"/>
  <c r="AD149" i="14"/>
  <c r="AC149" i="14"/>
  <c r="AB149" i="14"/>
  <c r="AA149" i="14"/>
  <c r="Z149" i="14"/>
  <c r="Y149" i="14"/>
  <c r="X149" i="14"/>
  <c r="V149" i="14"/>
  <c r="U149" i="14"/>
  <c r="N149" i="14"/>
  <c r="P149" i="14" s="1"/>
  <c r="M149" i="14"/>
  <c r="K149" i="14"/>
  <c r="Q149" i="14" a="1"/>
  <c r="Q149" i="14" l="1"/>
  <c r="W149" i="14"/>
  <c r="J149" i="14"/>
  <c r="H149" i="14"/>
  <c r="G149" i="14"/>
  <c r="AJ149" i="14" s="1"/>
  <c r="F149" i="14"/>
  <c r="E149" i="14"/>
  <c r="D149" i="14"/>
  <c r="C149" i="14"/>
  <c r="AU148" i="14"/>
  <c r="AT148" i="14"/>
  <c r="AS148" i="14"/>
  <c r="AR148" i="14"/>
  <c r="AQ148" i="14"/>
  <c r="AP148" i="14"/>
  <c r="AO148" i="14"/>
  <c r="AN148" i="14"/>
  <c r="AM148" i="14"/>
  <c r="AL148" i="14"/>
  <c r="AK148" i="14"/>
  <c r="AI148" i="14" a="1"/>
  <c r="AI148" i="14" s="1"/>
  <c r="AH148" i="14"/>
  <c r="AF148" i="14"/>
  <c r="AE148" i="14"/>
  <c r="AD148" i="14"/>
  <c r="AC148" i="14" s="1"/>
  <c r="AB148" i="14"/>
  <c r="AA148" i="14"/>
  <c r="Z148" i="14"/>
  <c r="Y148" i="14"/>
  <c r="X148" i="14"/>
  <c r="V148" i="14"/>
  <c r="U148" i="14"/>
  <c r="N148" i="14"/>
  <c r="P148" i="14" s="1"/>
  <c r="M148" i="14"/>
  <c r="K148" i="14"/>
  <c r="Q148" i="14" a="1"/>
  <c r="Q148" i="14" l="1"/>
  <c r="W148" i="14"/>
  <c r="J148" i="14"/>
  <c r="H148" i="14"/>
  <c r="G148" i="14"/>
  <c r="AJ148" i="14" s="1"/>
  <c r="F148" i="14"/>
  <c r="E148" i="14"/>
  <c r="D148" i="14"/>
  <c r="C148" i="14"/>
  <c r="AU147" i="14"/>
  <c r="AT147" i="14"/>
  <c r="AS147" i="14"/>
  <c r="AR147" i="14"/>
  <c r="AQ147" i="14"/>
  <c r="AP147" i="14"/>
  <c r="AO147" i="14"/>
  <c r="AN147" i="14"/>
  <c r="AM147" i="14"/>
  <c r="AL147" i="14"/>
  <c r="AK147" i="14"/>
  <c r="AI147" i="14" a="1"/>
  <c r="AI147" i="14" s="1"/>
  <c r="AH147" i="14"/>
  <c r="AF147" i="14"/>
  <c r="AE147" i="14"/>
  <c r="AD147" i="14"/>
  <c r="AC147" i="14" s="1"/>
  <c r="AB147" i="14"/>
  <c r="AA147" i="14"/>
  <c r="Z147" i="14"/>
  <c r="Y147" i="14"/>
  <c r="X147" i="14"/>
  <c r="V147" i="14"/>
  <c r="U147" i="14"/>
  <c r="N147" i="14"/>
  <c r="P147" i="14" s="1"/>
  <c r="M147" i="14"/>
  <c r="K147" i="14"/>
  <c r="Q147" i="14" a="1"/>
  <c r="Q147" i="14" l="1"/>
  <c r="W147" i="14"/>
  <c r="J147" i="14"/>
  <c r="H147" i="14"/>
  <c r="G147" i="14"/>
  <c r="AJ147" i="14" s="1"/>
  <c r="F147" i="14"/>
  <c r="E147" i="14"/>
  <c r="D147" i="14"/>
  <c r="C147" i="14"/>
  <c r="AU146" i="14"/>
  <c r="AT146" i="14"/>
  <c r="AS146" i="14"/>
  <c r="AR146" i="14"/>
  <c r="AQ146" i="14"/>
  <c r="AP146" i="14"/>
  <c r="AO146" i="14"/>
  <c r="AN146" i="14"/>
  <c r="AM146" i="14"/>
  <c r="AL146" i="14"/>
  <c r="AK146" i="14"/>
  <c r="AI146" i="14" a="1"/>
  <c r="AI146" i="14" s="1"/>
  <c r="AH146" i="14"/>
  <c r="AF146" i="14"/>
  <c r="AE146" i="14"/>
  <c r="AD146" i="14"/>
  <c r="AC146" i="14" s="1"/>
  <c r="AB146" i="14"/>
  <c r="AA146" i="14"/>
  <c r="Z146" i="14"/>
  <c r="Y146" i="14"/>
  <c r="X146" i="14"/>
  <c r="V146" i="14"/>
  <c r="U146" i="14"/>
  <c r="N146" i="14"/>
  <c r="P146" i="14" s="1"/>
  <c r="M146" i="14"/>
  <c r="K146" i="14"/>
  <c r="Q146" i="14" a="1"/>
  <c r="Q146" i="14" l="1"/>
  <c r="W146" i="14"/>
  <c r="J146" i="14"/>
  <c r="H146" i="14"/>
  <c r="G146" i="14"/>
  <c r="AJ146" i="14" s="1"/>
  <c r="F146" i="14"/>
  <c r="E146" i="14"/>
  <c r="D146" i="14"/>
  <c r="C146" i="14"/>
  <c r="AU145" i="14"/>
  <c r="AT145" i="14"/>
  <c r="AS145" i="14"/>
  <c r="AR145" i="14"/>
  <c r="AQ145" i="14"/>
  <c r="AP145" i="14"/>
  <c r="AO145" i="14"/>
  <c r="AN145" i="14"/>
  <c r="AM145" i="14"/>
  <c r="AL145" i="14"/>
  <c r="AK145" i="14"/>
  <c r="AI145" i="14" a="1"/>
  <c r="AI145" i="14" s="1"/>
  <c r="AH145" i="14"/>
  <c r="AF145" i="14"/>
  <c r="AE145" i="14"/>
  <c r="AD145" i="14"/>
  <c r="AC145" i="14" s="1"/>
  <c r="AB145" i="14"/>
  <c r="AA145" i="14"/>
  <c r="Z145" i="14"/>
  <c r="Y145" i="14"/>
  <c r="X145" i="14"/>
  <c r="V145" i="14"/>
  <c r="U145" i="14"/>
  <c r="N145" i="14"/>
  <c r="P145" i="14" s="1"/>
  <c r="M145" i="14"/>
  <c r="K145" i="14"/>
  <c r="Q145" i="14" a="1"/>
  <c r="Q145" i="14" l="1"/>
  <c r="W145" i="14"/>
  <c r="J145" i="14"/>
  <c r="H145" i="14"/>
  <c r="G145" i="14"/>
  <c r="AJ145" i="14" s="1"/>
  <c r="F145" i="14"/>
  <c r="E145" i="14"/>
  <c r="D145" i="14"/>
  <c r="C145" i="14"/>
  <c r="AU144" i="14"/>
  <c r="AT144" i="14"/>
  <c r="AS144" i="14"/>
  <c r="AR144" i="14"/>
  <c r="AQ144" i="14"/>
  <c r="AP144" i="14"/>
  <c r="AO144" i="14"/>
  <c r="AN144" i="14"/>
  <c r="AM144" i="14"/>
  <c r="AL144" i="14"/>
  <c r="AK144" i="14"/>
  <c r="AI144" i="14" a="1"/>
  <c r="AI144" i="14" s="1"/>
  <c r="AH144" i="14"/>
  <c r="AF144" i="14"/>
  <c r="AE144" i="14"/>
  <c r="AD144" i="14"/>
  <c r="AC144" i="14" s="1"/>
  <c r="AB144" i="14"/>
  <c r="AA144" i="14"/>
  <c r="Z144" i="14"/>
  <c r="Y144" i="14"/>
  <c r="X144" i="14"/>
  <c r="V144" i="14"/>
  <c r="U144" i="14"/>
  <c r="N144" i="14"/>
  <c r="P144" i="14" s="1"/>
  <c r="M144" i="14"/>
  <c r="K144" i="14"/>
  <c r="Q144" i="14" a="1"/>
  <c r="Q144" i="14" l="1"/>
  <c r="W144" i="14"/>
  <c r="J144" i="14"/>
  <c r="H144" i="14"/>
  <c r="G144" i="14"/>
  <c r="AJ144" i="14" s="1"/>
  <c r="F144" i="14"/>
  <c r="E144" i="14"/>
  <c r="D144" i="14"/>
  <c r="C144" i="14"/>
  <c r="AU143" i="14"/>
  <c r="AT143" i="14"/>
  <c r="AS143" i="14"/>
  <c r="AR143" i="14"/>
  <c r="AQ143" i="14"/>
  <c r="AP143" i="14"/>
  <c r="AO143" i="14"/>
  <c r="AN143" i="14"/>
  <c r="AM143" i="14"/>
  <c r="AL143" i="14"/>
  <c r="AK143" i="14"/>
  <c r="AI143" i="14" a="1"/>
  <c r="AI143" i="14" s="1"/>
  <c r="AH143" i="14"/>
  <c r="AF143" i="14"/>
  <c r="AE143" i="14"/>
  <c r="AD143" i="14"/>
  <c r="AC143" i="14"/>
  <c r="AB143" i="14"/>
  <c r="AA143" i="14"/>
  <c r="Z143" i="14"/>
  <c r="Y143" i="14"/>
  <c r="X143" i="14"/>
  <c r="V143" i="14"/>
  <c r="U143" i="14"/>
  <c r="N143" i="14"/>
  <c r="P143" i="14" s="1"/>
  <c r="M143" i="14"/>
  <c r="K143" i="14"/>
  <c r="Q143" i="14" a="1"/>
  <c r="Q143" i="14" l="1"/>
  <c r="W143" i="14"/>
  <c r="J143" i="14"/>
  <c r="H143" i="14"/>
  <c r="G143" i="14"/>
  <c r="AJ143" i="14" s="1"/>
  <c r="F143" i="14"/>
  <c r="E143" i="14"/>
  <c r="D143" i="14"/>
  <c r="C143" i="14"/>
  <c r="AU142" i="14"/>
  <c r="AT142" i="14"/>
  <c r="AS142" i="14"/>
  <c r="AR142" i="14"/>
  <c r="AQ142" i="14"/>
  <c r="AP142" i="14"/>
  <c r="AO142" i="14"/>
  <c r="AN142" i="14"/>
  <c r="AM142" i="14"/>
  <c r="AL142" i="14"/>
  <c r="AK142" i="14"/>
  <c r="AI142" i="14" a="1"/>
  <c r="AI142" i="14" s="1"/>
  <c r="AH142" i="14"/>
  <c r="AF142" i="14"/>
  <c r="AE142" i="14"/>
  <c r="AD142" i="14"/>
  <c r="AC142" i="14"/>
  <c r="AB142" i="14"/>
  <c r="AA142" i="14"/>
  <c r="Z142" i="14"/>
  <c r="Y142" i="14"/>
  <c r="X142" i="14"/>
  <c r="V142" i="14"/>
  <c r="U142" i="14"/>
  <c r="N142" i="14"/>
  <c r="P142" i="14" s="1"/>
  <c r="M142" i="14"/>
  <c r="K142" i="14"/>
  <c r="Q142" i="14" a="1"/>
  <c r="Q142" i="14" l="1"/>
  <c r="W142" i="14"/>
  <c r="J142" i="14"/>
  <c r="H142" i="14"/>
  <c r="G142" i="14"/>
  <c r="AJ142" i="14" s="1"/>
  <c r="F142" i="14"/>
  <c r="E142" i="14"/>
  <c r="D142" i="14"/>
  <c r="C142" i="14"/>
  <c r="AU141" i="14"/>
  <c r="AT141" i="14"/>
  <c r="AS141" i="14"/>
  <c r="AR141" i="14"/>
  <c r="AQ141" i="14"/>
  <c r="AP141" i="14"/>
  <c r="AO141" i="14"/>
  <c r="AN141" i="14"/>
  <c r="AM141" i="14"/>
  <c r="AL141" i="14"/>
  <c r="AK141" i="14"/>
  <c r="AI141" i="14" a="1"/>
  <c r="AI141" i="14" s="1"/>
  <c r="AH141" i="14"/>
  <c r="AF141" i="14"/>
  <c r="AE141" i="14"/>
  <c r="AD141" i="14"/>
  <c r="AC141" i="14" s="1"/>
  <c r="AB141" i="14"/>
  <c r="AA141" i="14"/>
  <c r="Z141" i="14"/>
  <c r="Y141" i="14"/>
  <c r="X141" i="14"/>
  <c r="V141" i="14"/>
  <c r="U141" i="14"/>
  <c r="N141" i="14"/>
  <c r="P141" i="14" s="1"/>
  <c r="M141" i="14"/>
  <c r="K141" i="14"/>
  <c r="Q141" i="14" a="1"/>
  <c r="Q141" i="14" l="1"/>
  <c r="W141" i="14"/>
  <c r="J141" i="14"/>
  <c r="H141" i="14"/>
  <c r="G141" i="14"/>
  <c r="AJ141" i="14" s="1"/>
  <c r="F141" i="14"/>
  <c r="E141" i="14"/>
  <c r="D141" i="14"/>
  <c r="C141" i="14"/>
  <c r="AU140" i="14"/>
  <c r="AT140" i="14"/>
  <c r="AS140" i="14"/>
  <c r="AR140" i="14"/>
  <c r="AQ140" i="14"/>
  <c r="AP140" i="14"/>
  <c r="AO140" i="14"/>
  <c r="AN140" i="14"/>
  <c r="AM140" i="14"/>
  <c r="AL140" i="14"/>
  <c r="AK140" i="14"/>
  <c r="AI140" i="14" a="1"/>
  <c r="AI140" i="14" s="1"/>
  <c r="AH140" i="14"/>
  <c r="AF140" i="14"/>
  <c r="AE140" i="14"/>
  <c r="AD140" i="14"/>
  <c r="AC140" i="14"/>
  <c r="AB140" i="14"/>
  <c r="AA140" i="14"/>
  <c r="Z140" i="14"/>
  <c r="Y140" i="14"/>
  <c r="X140" i="14"/>
  <c r="V140" i="14"/>
  <c r="U140" i="14"/>
  <c r="N140" i="14"/>
  <c r="P140" i="14" s="1"/>
  <c r="M140" i="14"/>
  <c r="K140" i="14"/>
  <c r="Q140" i="14" a="1"/>
  <c r="Q140" i="14" l="1"/>
  <c r="W140" i="14"/>
  <c r="J140" i="14"/>
  <c r="H140" i="14"/>
  <c r="G140" i="14"/>
  <c r="AJ140" i="14" s="1"/>
  <c r="F140" i="14"/>
  <c r="E140" i="14"/>
  <c r="D140" i="14"/>
  <c r="C140" i="14"/>
  <c r="AU139" i="14"/>
  <c r="AT139" i="14"/>
  <c r="AS139" i="14"/>
  <c r="AR139" i="14"/>
  <c r="AQ139" i="14"/>
  <c r="AP139" i="14"/>
  <c r="AO139" i="14"/>
  <c r="AN139" i="14"/>
  <c r="AM139" i="14"/>
  <c r="AL139" i="14"/>
  <c r="AK139" i="14"/>
  <c r="AI139" i="14" a="1"/>
  <c r="AI139" i="14" s="1"/>
  <c r="AH139" i="14"/>
  <c r="AF139" i="14"/>
  <c r="AE139" i="14"/>
  <c r="AD139" i="14"/>
  <c r="AC139" i="14"/>
  <c r="AB139" i="14"/>
  <c r="AA139" i="14"/>
  <c r="Z139" i="14"/>
  <c r="Y139" i="14"/>
  <c r="X139" i="14"/>
  <c r="V139" i="14"/>
  <c r="U139" i="14"/>
  <c r="N139" i="14"/>
  <c r="P139" i="14" s="1"/>
  <c r="M139" i="14"/>
  <c r="K139" i="14"/>
  <c r="Q139" i="14" a="1"/>
  <c r="Q139" i="14" l="1"/>
  <c r="W139" i="14"/>
  <c r="J139" i="14"/>
  <c r="H139" i="14"/>
  <c r="G139" i="14"/>
  <c r="AJ139" i="14" s="1"/>
  <c r="F139" i="14"/>
  <c r="E139" i="14"/>
  <c r="D139" i="14"/>
  <c r="C139" i="14"/>
  <c r="AU138" i="14"/>
  <c r="AT138" i="14"/>
  <c r="AS138" i="14"/>
  <c r="AR138" i="14"/>
  <c r="AQ138" i="14"/>
  <c r="AP138" i="14"/>
  <c r="AO138" i="14"/>
  <c r="AN138" i="14"/>
  <c r="AM138" i="14"/>
  <c r="AL138" i="14"/>
  <c r="AK138" i="14"/>
  <c r="AI138" i="14" a="1"/>
  <c r="AI138" i="14" s="1"/>
  <c r="AH138" i="14"/>
  <c r="AF138" i="14"/>
  <c r="AE138" i="14"/>
  <c r="AD138" i="14"/>
  <c r="AC138" i="14"/>
  <c r="AB138" i="14"/>
  <c r="AA138" i="14"/>
  <c r="Z138" i="14"/>
  <c r="Y138" i="14"/>
  <c r="X138" i="14"/>
  <c r="V138" i="14"/>
  <c r="U138" i="14"/>
  <c r="N138" i="14"/>
  <c r="P138" i="14" s="1"/>
  <c r="M138" i="14"/>
  <c r="K138" i="14"/>
  <c r="Q138" i="14" a="1"/>
  <c r="Q138" i="14" l="1"/>
  <c r="W138" i="14"/>
  <c r="J138" i="14"/>
  <c r="H138" i="14"/>
  <c r="G138" i="14"/>
  <c r="AJ138" i="14" s="1"/>
  <c r="F138" i="14"/>
  <c r="E138" i="14"/>
  <c r="D138" i="14"/>
  <c r="C138" i="14"/>
  <c r="AU137" i="14"/>
  <c r="AT137" i="14"/>
  <c r="AS137" i="14"/>
  <c r="AR137" i="14"/>
  <c r="AQ137" i="14"/>
  <c r="AP137" i="14"/>
  <c r="AO137" i="14"/>
  <c r="AN137" i="14"/>
  <c r="AM137" i="14"/>
  <c r="AL137" i="14"/>
  <c r="AK137" i="14"/>
  <c r="AI137" i="14" a="1"/>
  <c r="AI137" i="14" s="1"/>
  <c r="AH137" i="14"/>
  <c r="AF137" i="14"/>
  <c r="AE137" i="14"/>
  <c r="AD137" i="14"/>
  <c r="AC137" i="14" s="1"/>
  <c r="AB137" i="14"/>
  <c r="AA137" i="14"/>
  <c r="Z137" i="14"/>
  <c r="Y137" i="14"/>
  <c r="X137" i="14"/>
  <c r="V137" i="14"/>
  <c r="U137" i="14"/>
  <c r="N137" i="14"/>
  <c r="P137" i="14" s="1"/>
  <c r="M137" i="14"/>
  <c r="K137" i="14"/>
  <c r="Q137" i="14" a="1"/>
  <c r="Q137" i="14" l="1"/>
  <c r="W137" i="14"/>
  <c r="J137" i="14"/>
  <c r="H137" i="14"/>
  <c r="G137" i="14"/>
  <c r="AJ137" i="14" s="1"/>
  <c r="F137" i="14"/>
  <c r="E137" i="14"/>
  <c r="D137" i="14"/>
  <c r="C137" i="14"/>
  <c r="AU136" i="14"/>
  <c r="AT136" i="14"/>
  <c r="AS136" i="14"/>
  <c r="AR136" i="14"/>
  <c r="AQ136" i="14"/>
  <c r="AP136" i="14"/>
  <c r="AO136" i="14"/>
  <c r="AN136" i="14"/>
  <c r="AM136" i="14"/>
  <c r="AL136" i="14"/>
  <c r="AK136" i="14"/>
  <c r="AI136" i="14" a="1"/>
  <c r="AI136" i="14" s="1"/>
  <c r="AH136" i="14"/>
  <c r="AF136" i="14"/>
  <c r="AE136" i="14"/>
  <c r="AD136" i="14"/>
  <c r="AC136" i="14" s="1"/>
  <c r="AB136" i="14"/>
  <c r="AA136" i="14"/>
  <c r="Z136" i="14"/>
  <c r="Y136" i="14"/>
  <c r="X136" i="14"/>
  <c r="V136" i="14"/>
  <c r="U136" i="14"/>
  <c r="N136" i="14"/>
  <c r="P136" i="14" s="1"/>
  <c r="M136" i="14"/>
  <c r="K136" i="14"/>
  <c r="Q136" i="14" a="1"/>
  <c r="Q136" i="14" l="1"/>
  <c r="W136" i="14"/>
  <c r="J136" i="14"/>
  <c r="H136" i="14"/>
  <c r="G136" i="14"/>
  <c r="AJ136" i="14" s="1"/>
  <c r="F136" i="14"/>
  <c r="E136" i="14"/>
  <c r="D136" i="14"/>
  <c r="C136" i="14"/>
  <c r="AU135" i="14"/>
  <c r="AT135" i="14"/>
  <c r="AS135" i="14"/>
  <c r="AR135" i="14"/>
  <c r="AQ135" i="14"/>
  <c r="AP135" i="14"/>
  <c r="AO135" i="14"/>
  <c r="AN135" i="14"/>
  <c r="AM135" i="14"/>
  <c r="AL135" i="14"/>
  <c r="AK135" i="14"/>
  <c r="AI135" i="14" a="1"/>
  <c r="AI135" i="14" s="1"/>
  <c r="AH135" i="14"/>
  <c r="AF135" i="14"/>
  <c r="AE135" i="14"/>
  <c r="AD135" i="14"/>
  <c r="AC135" i="14" s="1"/>
  <c r="AB135" i="14"/>
  <c r="AA135" i="14"/>
  <c r="Z135" i="14"/>
  <c r="Y135" i="14"/>
  <c r="X135" i="14"/>
  <c r="V135" i="14"/>
  <c r="U135" i="14"/>
  <c r="N135" i="14"/>
  <c r="P135" i="14" s="1"/>
  <c r="M135" i="14"/>
  <c r="K135" i="14"/>
  <c r="Q135" i="14" a="1"/>
  <c r="Q135" i="14" l="1"/>
  <c r="W135" i="14"/>
  <c r="J135" i="14"/>
  <c r="H135" i="14"/>
  <c r="G135" i="14"/>
  <c r="AJ135" i="14" s="1"/>
  <c r="F135" i="14"/>
  <c r="E135" i="14"/>
  <c r="D135" i="14"/>
  <c r="C135" i="14"/>
  <c r="AU134" i="14"/>
  <c r="AT134" i="14"/>
  <c r="AS134" i="14"/>
  <c r="AR134" i="14"/>
  <c r="AQ134" i="14"/>
  <c r="AP134" i="14"/>
  <c r="AO134" i="14"/>
  <c r="AN134" i="14"/>
  <c r="AM134" i="14"/>
  <c r="AL134" i="14"/>
  <c r="AK134" i="14"/>
  <c r="AI134" i="14" a="1"/>
  <c r="AI134" i="14" s="1"/>
  <c r="AH134" i="14"/>
  <c r="AF134" i="14"/>
  <c r="AE134" i="14"/>
  <c r="AD134" i="14"/>
  <c r="AC134" i="14" s="1"/>
  <c r="AB134" i="14"/>
  <c r="AA134" i="14"/>
  <c r="Z134" i="14"/>
  <c r="Y134" i="14"/>
  <c r="X134" i="14"/>
  <c r="V134" i="14"/>
  <c r="U134" i="14"/>
  <c r="N134" i="14"/>
  <c r="P134" i="14" s="1"/>
  <c r="M134" i="14"/>
  <c r="K134" i="14"/>
  <c r="Q134" i="14" a="1"/>
  <c r="Q134" i="14" l="1"/>
  <c r="W134" i="14"/>
  <c r="J134" i="14"/>
  <c r="H134" i="14"/>
  <c r="G134" i="14"/>
  <c r="AJ134" i="14" s="1"/>
  <c r="F134" i="14"/>
  <c r="E134" i="14"/>
  <c r="D134" i="14"/>
  <c r="C134" i="14"/>
  <c r="AU133" i="14"/>
  <c r="AT133" i="14"/>
  <c r="AS133" i="14"/>
  <c r="AR133" i="14"/>
  <c r="AQ133" i="14"/>
  <c r="AP133" i="14"/>
  <c r="AO133" i="14"/>
  <c r="AN133" i="14"/>
  <c r="AM133" i="14"/>
  <c r="AL133" i="14"/>
  <c r="AK133" i="14"/>
  <c r="AI133" i="14" a="1"/>
  <c r="AI133" i="14" s="1"/>
  <c r="AH133" i="14"/>
  <c r="AF133" i="14"/>
  <c r="AE133" i="14"/>
  <c r="AD133" i="14"/>
  <c r="AC133" i="14" s="1"/>
  <c r="AB133" i="14"/>
  <c r="AA133" i="14"/>
  <c r="Z133" i="14"/>
  <c r="Y133" i="14"/>
  <c r="X133" i="14"/>
  <c r="V133" i="14"/>
  <c r="U133" i="14"/>
  <c r="N133" i="14"/>
  <c r="P133" i="14" s="1"/>
  <c r="M133" i="14"/>
  <c r="K133" i="14"/>
  <c r="Q133" i="14" a="1"/>
  <c r="Q133" i="14" l="1"/>
  <c r="W133" i="14"/>
  <c r="J133" i="14"/>
  <c r="H133" i="14"/>
  <c r="G133" i="14"/>
  <c r="AJ133" i="14" s="1"/>
  <c r="F133" i="14"/>
  <c r="E133" i="14"/>
  <c r="D133" i="14"/>
  <c r="C133" i="14"/>
  <c r="AU132" i="14"/>
  <c r="AT132" i="14"/>
  <c r="AS132" i="14"/>
  <c r="AR132" i="14"/>
  <c r="AQ132" i="14"/>
  <c r="AP132" i="14"/>
  <c r="AO132" i="14"/>
  <c r="AN132" i="14"/>
  <c r="AM132" i="14"/>
  <c r="AL132" i="14"/>
  <c r="AK132" i="14"/>
  <c r="AI132" i="14" a="1"/>
  <c r="AI132" i="14" s="1"/>
  <c r="AH132" i="14"/>
  <c r="AF132" i="14"/>
  <c r="AE132" i="14"/>
  <c r="AD132" i="14"/>
  <c r="AC132" i="14" s="1"/>
  <c r="AB132" i="14"/>
  <c r="AA132" i="14"/>
  <c r="Z132" i="14"/>
  <c r="Y132" i="14"/>
  <c r="X132" i="14"/>
  <c r="V132" i="14"/>
  <c r="U132" i="14"/>
  <c r="N132" i="14"/>
  <c r="P132" i="14" s="1"/>
  <c r="M132" i="14"/>
  <c r="K132" i="14"/>
  <c r="Q132" i="14" a="1"/>
  <c r="Q132" i="14" l="1"/>
  <c r="W132" i="14"/>
  <c r="J132" i="14"/>
  <c r="H132" i="14"/>
  <c r="G132" i="14"/>
  <c r="AJ132" i="14" s="1"/>
  <c r="F132" i="14"/>
  <c r="E132" i="14"/>
  <c r="D132" i="14"/>
  <c r="C132" i="14"/>
  <c r="AU131" i="14"/>
  <c r="AT131" i="14"/>
  <c r="AS131" i="14"/>
  <c r="AR131" i="14"/>
  <c r="AQ131" i="14"/>
  <c r="AP131" i="14"/>
  <c r="AO131" i="14"/>
  <c r="AN131" i="14"/>
  <c r="AM131" i="14"/>
  <c r="AL131" i="14"/>
  <c r="AK131" i="14"/>
  <c r="AI131" i="14" a="1"/>
  <c r="AI131" i="14" s="1"/>
  <c r="AH131" i="14"/>
  <c r="AF131" i="14"/>
  <c r="AE131" i="14"/>
  <c r="AD131" i="14"/>
  <c r="AC131" i="14"/>
  <c r="AB131" i="14"/>
  <c r="AA131" i="14"/>
  <c r="Z131" i="14"/>
  <c r="Y131" i="14"/>
  <c r="X131" i="14"/>
  <c r="V131" i="14"/>
  <c r="U131" i="14"/>
  <c r="N131" i="14"/>
  <c r="P131" i="14" s="1"/>
  <c r="M131" i="14"/>
  <c r="K131" i="14"/>
  <c r="Q131" i="14" a="1"/>
  <c r="Q131" i="14" l="1"/>
  <c r="W131" i="14"/>
  <c r="J131" i="14"/>
  <c r="H131" i="14"/>
  <c r="G131" i="14"/>
  <c r="AJ131" i="14" s="1"/>
  <c r="F131" i="14"/>
  <c r="E131" i="14"/>
  <c r="D131" i="14"/>
  <c r="C131" i="14"/>
  <c r="AU130" i="14"/>
  <c r="AT130" i="14"/>
  <c r="AS130" i="14"/>
  <c r="AR130" i="14"/>
  <c r="AQ130" i="14"/>
  <c r="AP130" i="14"/>
  <c r="AO130" i="14"/>
  <c r="AN130" i="14"/>
  <c r="AM130" i="14"/>
  <c r="AL130" i="14"/>
  <c r="AK130" i="14"/>
  <c r="AI130" i="14" a="1"/>
  <c r="AI130" i="14" s="1"/>
  <c r="AH130" i="14"/>
  <c r="AF130" i="14"/>
  <c r="AE130" i="14"/>
  <c r="AD130" i="14"/>
  <c r="AC130" i="14" s="1"/>
  <c r="AB130" i="14"/>
  <c r="AA130" i="14"/>
  <c r="Z130" i="14"/>
  <c r="Y130" i="14"/>
  <c r="X130" i="14"/>
  <c r="V130" i="14"/>
  <c r="U130" i="14"/>
  <c r="N130" i="14"/>
  <c r="P130" i="14" s="1"/>
  <c r="M130" i="14"/>
  <c r="K130" i="14"/>
  <c r="Q130" i="14" a="1"/>
  <c r="Q130" i="14" l="1"/>
  <c r="W130" i="14"/>
  <c r="J130" i="14"/>
  <c r="H130" i="14"/>
  <c r="G130" i="14"/>
  <c r="AJ130" i="14" s="1"/>
  <c r="F130" i="14"/>
  <c r="E130" i="14"/>
  <c r="D130" i="14"/>
  <c r="C130" i="14"/>
  <c r="AU129" i="14"/>
  <c r="AT129" i="14"/>
  <c r="AS129" i="14"/>
  <c r="AR129" i="14"/>
  <c r="AQ129" i="14"/>
  <c r="AP129" i="14"/>
  <c r="AO129" i="14"/>
  <c r="AN129" i="14"/>
  <c r="AM129" i="14"/>
  <c r="AL129" i="14"/>
  <c r="AK129" i="14"/>
  <c r="AI129" i="14" a="1"/>
  <c r="AI129" i="14" s="1"/>
  <c r="AH129" i="14"/>
  <c r="AF129" i="14"/>
  <c r="AE129" i="14"/>
  <c r="AD129" i="14"/>
  <c r="AC129" i="14"/>
  <c r="AB129" i="14"/>
  <c r="AA129" i="14"/>
  <c r="Z129" i="14"/>
  <c r="Y129" i="14"/>
  <c r="X129" i="14"/>
  <c r="V129" i="14"/>
  <c r="U129" i="14"/>
  <c r="N129" i="14"/>
  <c r="P129" i="14" s="1"/>
  <c r="M129" i="14"/>
  <c r="K129" i="14"/>
  <c r="Q129" i="14" a="1"/>
  <c r="Q129" i="14" l="1"/>
  <c r="W129" i="14"/>
  <c r="J129" i="14"/>
  <c r="H129" i="14"/>
  <c r="G129" i="14"/>
  <c r="AJ129" i="14" s="1"/>
  <c r="F129" i="14"/>
  <c r="E129" i="14"/>
  <c r="D129" i="14"/>
  <c r="C129" i="14"/>
  <c r="AU128" i="14"/>
  <c r="AT128" i="14"/>
  <c r="AS128" i="14"/>
  <c r="AR128" i="14"/>
  <c r="AQ128" i="14"/>
  <c r="AP128" i="14"/>
  <c r="AO128" i="14"/>
  <c r="AN128" i="14"/>
  <c r="AM128" i="14"/>
  <c r="AL128" i="14"/>
  <c r="AK128" i="14"/>
  <c r="AI128" i="14" a="1"/>
  <c r="AI128" i="14" s="1"/>
  <c r="AH128" i="14"/>
  <c r="AF128" i="14"/>
  <c r="AE128" i="14"/>
  <c r="AD128" i="14"/>
  <c r="AC128" i="14" s="1"/>
  <c r="AB128" i="14"/>
  <c r="AA128" i="14"/>
  <c r="Z128" i="14"/>
  <c r="Y128" i="14"/>
  <c r="X128" i="14"/>
  <c r="V128" i="14"/>
  <c r="U128" i="14"/>
  <c r="N128" i="14"/>
  <c r="P128" i="14" s="1"/>
  <c r="M128" i="14"/>
  <c r="K128" i="14"/>
  <c r="Q128" i="14" a="1"/>
  <c r="Q128" i="14" l="1"/>
  <c r="W128" i="14"/>
  <c r="J128" i="14"/>
  <c r="H128" i="14"/>
  <c r="G128" i="14"/>
  <c r="AJ128" i="14" s="1"/>
  <c r="F128" i="14"/>
  <c r="E128" i="14"/>
  <c r="D128" i="14"/>
  <c r="C128" i="14"/>
  <c r="AU127" i="14"/>
  <c r="AT127" i="14"/>
  <c r="AS127" i="14"/>
  <c r="AR127" i="14"/>
  <c r="AQ127" i="14"/>
  <c r="AP127" i="14"/>
  <c r="AO127" i="14"/>
  <c r="AN127" i="14"/>
  <c r="AM127" i="14"/>
  <c r="AL127" i="14"/>
  <c r="AK127" i="14"/>
  <c r="AI127" i="14" a="1"/>
  <c r="AI127" i="14" s="1"/>
  <c r="AH127" i="14"/>
  <c r="AF127" i="14"/>
  <c r="AE127" i="14"/>
  <c r="AD127" i="14"/>
  <c r="AC127" i="14" s="1"/>
  <c r="AB127" i="14"/>
  <c r="AA127" i="14"/>
  <c r="Z127" i="14"/>
  <c r="Y127" i="14"/>
  <c r="X127" i="14"/>
  <c r="V127" i="14"/>
  <c r="U127" i="14"/>
  <c r="N127" i="14"/>
  <c r="P127" i="14" s="1"/>
  <c r="M127" i="14"/>
  <c r="K127" i="14"/>
  <c r="Q127" i="14" a="1"/>
  <c r="Q127" i="14" l="1"/>
  <c r="W127" i="14"/>
  <c r="J127" i="14"/>
  <c r="H127" i="14"/>
  <c r="G127" i="14"/>
  <c r="AJ127" i="14" s="1"/>
  <c r="F127" i="14"/>
  <c r="E127" i="14"/>
  <c r="D127" i="14"/>
  <c r="C127" i="14"/>
  <c r="AU126" i="14"/>
  <c r="AT126" i="14"/>
  <c r="AS126" i="14"/>
  <c r="AR126" i="14"/>
  <c r="AQ126" i="14"/>
  <c r="AP126" i="14"/>
  <c r="AO126" i="14"/>
  <c r="AN126" i="14"/>
  <c r="AM126" i="14"/>
  <c r="AL126" i="14"/>
  <c r="AK126" i="14"/>
  <c r="AI126" i="14" a="1"/>
  <c r="AI126" i="14" s="1"/>
  <c r="AH126" i="14"/>
  <c r="AF126" i="14"/>
  <c r="AE126" i="14"/>
  <c r="AD126" i="14"/>
  <c r="AC126" i="14"/>
  <c r="AB126" i="14"/>
  <c r="AA126" i="14"/>
  <c r="Z126" i="14"/>
  <c r="Y126" i="14"/>
  <c r="X126" i="14"/>
  <c r="V126" i="14"/>
  <c r="U126" i="14"/>
  <c r="N126" i="14"/>
  <c r="P126" i="14" s="1"/>
  <c r="M126" i="14"/>
  <c r="K126" i="14"/>
  <c r="Q126" i="14" a="1"/>
  <c r="Q126" i="14" l="1"/>
  <c r="W126" i="14"/>
  <c r="J126" i="14"/>
  <c r="H126" i="14"/>
  <c r="G126" i="14"/>
  <c r="AJ126" i="14" s="1"/>
  <c r="F126" i="14"/>
  <c r="E126" i="14"/>
  <c r="D126" i="14"/>
  <c r="C126" i="14"/>
  <c r="AU125" i="14"/>
  <c r="AT125" i="14"/>
  <c r="AS125" i="14"/>
  <c r="AR125" i="14"/>
  <c r="AQ125" i="14"/>
  <c r="AP125" i="14"/>
  <c r="AO125" i="14"/>
  <c r="AN125" i="14"/>
  <c r="AM125" i="14"/>
  <c r="AL125" i="14"/>
  <c r="AK125" i="14"/>
  <c r="AI125" i="14" a="1"/>
  <c r="AI125" i="14" s="1"/>
  <c r="AH125" i="14"/>
  <c r="AF125" i="14"/>
  <c r="AE125" i="14"/>
  <c r="AD125" i="14"/>
  <c r="AC125" i="14"/>
  <c r="AB125" i="14"/>
  <c r="AA125" i="14"/>
  <c r="Z125" i="14"/>
  <c r="Y125" i="14"/>
  <c r="X125" i="14"/>
  <c r="V125" i="14"/>
  <c r="U125" i="14"/>
  <c r="N125" i="14"/>
  <c r="P125" i="14" s="1"/>
  <c r="M125" i="14"/>
  <c r="K125" i="14"/>
  <c r="Q125" i="14" a="1"/>
  <c r="Q125" i="14" l="1"/>
  <c r="W125" i="14"/>
  <c r="J125" i="14"/>
  <c r="H125" i="14"/>
  <c r="G125" i="14"/>
  <c r="AJ125" i="14" s="1"/>
  <c r="F125" i="14"/>
  <c r="E125" i="14"/>
  <c r="D125" i="14"/>
  <c r="C125" i="14"/>
  <c r="AU124" i="14"/>
  <c r="AT124" i="14"/>
  <c r="AS124" i="14"/>
  <c r="AR124" i="14"/>
  <c r="AQ124" i="14"/>
  <c r="AP124" i="14"/>
  <c r="AO124" i="14"/>
  <c r="AN124" i="14"/>
  <c r="AM124" i="14"/>
  <c r="AL124" i="14"/>
  <c r="AK124" i="14"/>
  <c r="AI124" i="14" a="1"/>
  <c r="AI124" i="14" s="1"/>
  <c r="AH124" i="14"/>
  <c r="AF124" i="14"/>
  <c r="AE124" i="14"/>
  <c r="AD124" i="14"/>
  <c r="AC124" i="14" s="1"/>
  <c r="AB124" i="14"/>
  <c r="AA124" i="14"/>
  <c r="Z124" i="14"/>
  <c r="Y124" i="14"/>
  <c r="X124" i="14"/>
  <c r="V124" i="14"/>
  <c r="U124" i="14"/>
  <c r="N124" i="14"/>
  <c r="P124" i="14" s="1"/>
  <c r="M124" i="14"/>
  <c r="K124" i="14"/>
  <c r="Q124" i="14" a="1"/>
  <c r="Q124" i="14" l="1"/>
  <c r="W124" i="14"/>
  <c r="J124" i="14"/>
  <c r="H124" i="14"/>
  <c r="G124" i="14"/>
  <c r="AJ124" i="14" s="1"/>
  <c r="F124" i="14"/>
  <c r="E124" i="14"/>
  <c r="D124" i="14"/>
  <c r="C124" i="14"/>
  <c r="AU123" i="14"/>
  <c r="AT123" i="14"/>
  <c r="AS123" i="14"/>
  <c r="AR123" i="14"/>
  <c r="AQ123" i="14"/>
  <c r="AP123" i="14"/>
  <c r="AO123" i="14"/>
  <c r="AN123" i="14"/>
  <c r="AM123" i="14"/>
  <c r="AL123" i="14"/>
  <c r="AK123" i="14"/>
  <c r="AI123" i="14" a="1"/>
  <c r="AI123" i="14" s="1"/>
  <c r="AH123" i="14"/>
  <c r="AF123" i="14"/>
  <c r="AE123" i="14"/>
  <c r="AD123" i="14"/>
  <c r="AC123" i="14"/>
  <c r="AB123" i="14"/>
  <c r="AA123" i="14"/>
  <c r="Z123" i="14"/>
  <c r="Y123" i="14"/>
  <c r="X123" i="14"/>
  <c r="V123" i="14"/>
  <c r="U123" i="14"/>
  <c r="N123" i="14"/>
  <c r="P123" i="14" s="1"/>
  <c r="M123" i="14"/>
  <c r="K123" i="14"/>
  <c r="Q123" i="14" a="1"/>
  <c r="Q123" i="14" l="1"/>
  <c r="W123" i="14"/>
  <c r="J123" i="14"/>
  <c r="H123" i="14"/>
  <c r="G123" i="14"/>
  <c r="AJ123" i="14" s="1"/>
  <c r="F123" i="14"/>
  <c r="E123" i="14"/>
  <c r="D123" i="14"/>
  <c r="C123" i="14"/>
  <c r="AU122" i="14"/>
  <c r="AT122" i="14"/>
  <c r="AS122" i="14"/>
  <c r="AR122" i="14"/>
  <c r="AQ122" i="14"/>
  <c r="AP122" i="14"/>
  <c r="AO122" i="14"/>
  <c r="AN122" i="14"/>
  <c r="AM122" i="14"/>
  <c r="AL122" i="14"/>
  <c r="AK122" i="14"/>
  <c r="AI122" i="14" a="1"/>
  <c r="AI122" i="14" s="1"/>
  <c r="AH122" i="14"/>
  <c r="AF122" i="14"/>
  <c r="AE122" i="14"/>
  <c r="AD122" i="14"/>
  <c r="AC122" i="14"/>
  <c r="AB122" i="14"/>
  <c r="AA122" i="14"/>
  <c r="Z122" i="14"/>
  <c r="Y122" i="14"/>
  <c r="X122" i="14"/>
  <c r="V122" i="14"/>
  <c r="U122" i="14"/>
  <c r="N122" i="14"/>
  <c r="P122" i="14" s="1"/>
  <c r="M122" i="14"/>
  <c r="K122" i="14"/>
  <c r="Q122" i="14" a="1"/>
  <c r="Q122" i="14" l="1"/>
  <c r="W122" i="14"/>
  <c r="J122" i="14"/>
  <c r="H122" i="14"/>
  <c r="G122" i="14"/>
  <c r="AJ122" i="14" s="1"/>
  <c r="F122" i="14"/>
  <c r="E122" i="14"/>
  <c r="D122" i="14"/>
  <c r="C122" i="14"/>
  <c r="AU121" i="14"/>
  <c r="AT121" i="14"/>
  <c r="AS121" i="14"/>
  <c r="AR121" i="14"/>
  <c r="AQ121" i="14"/>
  <c r="AP121" i="14"/>
  <c r="AO121" i="14"/>
  <c r="AN121" i="14"/>
  <c r="AM121" i="14"/>
  <c r="AL121" i="14"/>
  <c r="AK121" i="14"/>
  <c r="AI121" i="14" a="1"/>
  <c r="AI121" i="14" s="1"/>
  <c r="AH121" i="14"/>
  <c r="AF121" i="14"/>
  <c r="AE121" i="14"/>
  <c r="AD121" i="14"/>
  <c r="AC121" i="14"/>
  <c r="AB121" i="14"/>
  <c r="AA121" i="14"/>
  <c r="Z121" i="14"/>
  <c r="Y121" i="14"/>
  <c r="X121" i="14"/>
  <c r="V121" i="14"/>
  <c r="U121" i="14"/>
  <c r="N121" i="14"/>
  <c r="P121" i="14" s="1"/>
  <c r="M121" i="14"/>
  <c r="K121" i="14"/>
  <c r="Q121" i="14" a="1"/>
  <c r="Q121" i="14" l="1"/>
  <c r="W121" i="14"/>
  <c r="J121" i="14"/>
  <c r="H121" i="14"/>
  <c r="G121" i="14"/>
  <c r="AJ121" i="14" s="1"/>
  <c r="F121" i="14"/>
  <c r="E121" i="14"/>
  <c r="D121" i="14"/>
  <c r="C121" i="14"/>
  <c r="AU120" i="14"/>
  <c r="AT120" i="14"/>
  <c r="AS120" i="14"/>
  <c r="AR120" i="14"/>
  <c r="AQ120" i="14"/>
  <c r="AP120" i="14"/>
  <c r="AO120" i="14"/>
  <c r="AN120" i="14"/>
  <c r="AM120" i="14"/>
  <c r="AL120" i="14"/>
  <c r="AK120" i="14"/>
  <c r="AI120" i="14" a="1"/>
  <c r="AI120" i="14" s="1"/>
  <c r="AH120" i="14"/>
  <c r="AF120" i="14"/>
  <c r="AE120" i="14"/>
  <c r="AD120" i="14"/>
  <c r="AC120" i="14"/>
  <c r="AB120" i="14"/>
  <c r="AA120" i="14"/>
  <c r="Z120" i="14"/>
  <c r="Y120" i="14"/>
  <c r="X120" i="14"/>
  <c r="V120" i="14"/>
  <c r="U120" i="14"/>
  <c r="N120" i="14"/>
  <c r="P120" i="14" s="1"/>
  <c r="M120" i="14"/>
  <c r="K120" i="14"/>
  <c r="Q120" i="14" a="1"/>
  <c r="Q120" i="14" l="1"/>
  <c r="W120" i="14"/>
  <c r="J120" i="14"/>
  <c r="H120" i="14"/>
  <c r="G120" i="14"/>
  <c r="AJ120" i="14" s="1"/>
  <c r="F120" i="14"/>
  <c r="E120" i="14"/>
  <c r="D120" i="14"/>
  <c r="C120" i="14"/>
  <c r="AU119" i="14"/>
  <c r="AT119" i="14"/>
  <c r="AS119" i="14"/>
  <c r="AR119" i="14"/>
  <c r="AQ119" i="14"/>
  <c r="AP119" i="14"/>
  <c r="AO119" i="14"/>
  <c r="AN119" i="14"/>
  <c r="AM119" i="14"/>
  <c r="AL119" i="14"/>
  <c r="AK119" i="14"/>
  <c r="AI119" i="14" a="1"/>
  <c r="AI119" i="14" s="1"/>
  <c r="AH119" i="14"/>
  <c r="AF119" i="14"/>
  <c r="AE119" i="14"/>
  <c r="AD119" i="14"/>
  <c r="AC119" i="14"/>
  <c r="AB119" i="14"/>
  <c r="AA119" i="14"/>
  <c r="Z119" i="14"/>
  <c r="Y119" i="14"/>
  <c r="X119" i="14"/>
  <c r="V119" i="14"/>
  <c r="U119" i="14"/>
  <c r="N119" i="14"/>
  <c r="P119" i="14" s="1"/>
  <c r="M119" i="14"/>
  <c r="K119" i="14"/>
  <c r="Q119" i="14" a="1"/>
  <c r="Q119" i="14" l="1"/>
  <c r="W119" i="14"/>
  <c r="J119" i="14"/>
  <c r="H119" i="14"/>
  <c r="G119" i="14"/>
  <c r="AJ119" i="14" s="1"/>
  <c r="F119" i="14"/>
  <c r="E119" i="14"/>
  <c r="D119" i="14"/>
  <c r="C119" i="14"/>
  <c r="AU118" i="14"/>
  <c r="AT118" i="14"/>
  <c r="AS118" i="14"/>
  <c r="AR118" i="14"/>
  <c r="AQ118" i="14"/>
  <c r="AP118" i="14"/>
  <c r="AO118" i="14"/>
  <c r="AN118" i="14"/>
  <c r="AM118" i="14"/>
  <c r="AL118" i="14"/>
  <c r="AK118" i="14"/>
  <c r="AI118" i="14" a="1"/>
  <c r="AI118" i="14" s="1"/>
  <c r="AH118" i="14"/>
  <c r="AF118" i="14"/>
  <c r="AE118" i="14"/>
  <c r="AD118" i="14"/>
  <c r="AC118" i="14" s="1"/>
  <c r="AB118" i="14"/>
  <c r="AA118" i="14"/>
  <c r="Z118" i="14"/>
  <c r="Y118" i="14"/>
  <c r="X118" i="14"/>
  <c r="V118" i="14"/>
  <c r="U118" i="14"/>
  <c r="N118" i="14"/>
  <c r="P118" i="14" s="1"/>
  <c r="M118" i="14"/>
  <c r="K118" i="14"/>
  <c r="Q118" i="14" a="1"/>
  <c r="Q118" i="14" l="1"/>
  <c r="W118" i="14"/>
  <c r="J118" i="14"/>
  <c r="H118" i="14"/>
  <c r="G118" i="14"/>
  <c r="AJ118" i="14" s="1"/>
  <c r="F118" i="14"/>
  <c r="E118" i="14"/>
  <c r="D118" i="14"/>
  <c r="C118" i="14"/>
  <c r="AU117" i="14"/>
  <c r="AT117" i="14"/>
  <c r="AS117" i="14"/>
  <c r="AR117" i="14"/>
  <c r="AQ117" i="14"/>
  <c r="AP117" i="14"/>
  <c r="AO117" i="14"/>
  <c r="AN117" i="14"/>
  <c r="AM117" i="14"/>
  <c r="AL117" i="14"/>
  <c r="AK117" i="14"/>
  <c r="AI117" i="14" a="1"/>
  <c r="AI117" i="14" s="1"/>
  <c r="AH117" i="14"/>
  <c r="AF117" i="14"/>
  <c r="AE117" i="14"/>
  <c r="AD117" i="14"/>
  <c r="AC117" i="14"/>
  <c r="AB117" i="14"/>
  <c r="AA117" i="14"/>
  <c r="Z117" i="14"/>
  <c r="Y117" i="14"/>
  <c r="X117" i="14"/>
  <c r="V117" i="14"/>
  <c r="U117" i="14"/>
  <c r="N117" i="14"/>
  <c r="P117" i="14" s="1"/>
  <c r="M117" i="14"/>
  <c r="K117" i="14"/>
  <c r="Q117" i="14" a="1"/>
  <c r="Q117" i="14" l="1"/>
  <c r="W117" i="14"/>
  <c r="J117" i="14"/>
  <c r="H117" i="14"/>
  <c r="G117" i="14"/>
  <c r="AJ117" i="14" s="1"/>
  <c r="F117" i="14"/>
  <c r="E117" i="14"/>
  <c r="D117" i="14"/>
  <c r="C117" i="14"/>
  <c r="AU116" i="14"/>
  <c r="AT116" i="14"/>
  <c r="AS116" i="14"/>
  <c r="AR116" i="14"/>
  <c r="AQ116" i="14"/>
  <c r="AP116" i="14"/>
  <c r="AO116" i="14"/>
  <c r="AN116" i="14"/>
  <c r="AM116" i="14"/>
  <c r="AL116" i="14"/>
  <c r="AK116" i="14"/>
  <c r="AI116" i="14" a="1"/>
  <c r="AI116" i="14" s="1"/>
  <c r="AH116" i="14"/>
  <c r="AF116" i="14"/>
  <c r="AE116" i="14"/>
  <c r="AD116" i="14"/>
  <c r="AC116" i="14"/>
  <c r="AB116" i="14"/>
  <c r="AA116" i="14"/>
  <c r="Z116" i="14"/>
  <c r="Y116" i="14"/>
  <c r="X116" i="14"/>
  <c r="V116" i="14"/>
  <c r="U116" i="14"/>
  <c r="N116" i="14"/>
  <c r="P116" i="14" s="1"/>
  <c r="M116" i="14"/>
  <c r="K116" i="14"/>
  <c r="Q116" i="14" a="1"/>
  <c r="Q116" i="14" l="1"/>
  <c r="W116" i="14"/>
  <c r="J116" i="14"/>
  <c r="H116" i="14"/>
  <c r="G116" i="14"/>
  <c r="AJ116" i="14" s="1"/>
  <c r="F116" i="14"/>
  <c r="E116" i="14"/>
  <c r="D116" i="14"/>
  <c r="C116" i="14"/>
  <c r="AU115" i="14"/>
  <c r="AT115" i="14"/>
  <c r="AS115" i="14"/>
  <c r="AR115" i="14"/>
  <c r="AQ115" i="14"/>
  <c r="AP115" i="14"/>
  <c r="AO115" i="14"/>
  <c r="AN115" i="14"/>
  <c r="AM115" i="14"/>
  <c r="AL115" i="14"/>
  <c r="AK115" i="14"/>
  <c r="AI115" i="14" a="1"/>
  <c r="AI115" i="14" s="1"/>
  <c r="AH115" i="14"/>
  <c r="AF115" i="14"/>
  <c r="AE115" i="14"/>
  <c r="AD115" i="14"/>
  <c r="AC115" i="14" s="1"/>
  <c r="AB115" i="14"/>
  <c r="AA115" i="14"/>
  <c r="Z115" i="14"/>
  <c r="Y115" i="14"/>
  <c r="X115" i="14"/>
  <c r="V115" i="14"/>
  <c r="U115" i="14"/>
  <c r="N115" i="14"/>
  <c r="P115" i="14" s="1"/>
  <c r="M115" i="14"/>
  <c r="K115" i="14"/>
  <c r="Q115" i="14" a="1"/>
  <c r="Q115" i="14" l="1"/>
  <c r="W115" i="14"/>
  <c r="J115" i="14"/>
  <c r="H115" i="14"/>
  <c r="G115" i="14"/>
  <c r="AJ115" i="14" s="1"/>
  <c r="F115" i="14"/>
  <c r="E115" i="14"/>
  <c r="D115" i="14"/>
  <c r="C115" i="14"/>
  <c r="AU114" i="14"/>
  <c r="AT114" i="14"/>
  <c r="AS114" i="14"/>
  <c r="AR114" i="14"/>
  <c r="AQ114" i="14"/>
  <c r="AP114" i="14"/>
  <c r="AO114" i="14"/>
  <c r="AN114" i="14"/>
  <c r="AM114" i="14"/>
  <c r="AL114" i="14"/>
  <c r="AK114" i="14"/>
  <c r="AI114" i="14" a="1"/>
  <c r="AI114" i="14" s="1"/>
  <c r="AH114" i="14"/>
  <c r="AF114" i="14"/>
  <c r="AE114" i="14"/>
  <c r="AD114" i="14"/>
  <c r="AC114" i="14"/>
  <c r="AB114" i="14"/>
  <c r="AA114" i="14"/>
  <c r="Z114" i="14"/>
  <c r="Y114" i="14"/>
  <c r="X114" i="14"/>
  <c r="V114" i="14"/>
  <c r="U114" i="14"/>
  <c r="N114" i="14"/>
  <c r="P114" i="14" s="1"/>
  <c r="M114" i="14"/>
  <c r="K114" i="14"/>
  <c r="Q114" i="14" a="1"/>
  <c r="Q114" i="14" l="1"/>
  <c r="W114" i="14"/>
  <c r="J114" i="14"/>
  <c r="H114" i="14"/>
  <c r="G114" i="14"/>
  <c r="AJ114" i="14" s="1"/>
  <c r="F114" i="14"/>
  <c r="E114" i="14"/>
  <c r="D114" i="14"/>
  <c r="C114" i="14"/>
  <c r="AU113" i="14"/>
  <c r="AT113" i="14"/>
  <c r="AS113" i="14"/>
  <c r="AR113" i="14"/>
  <c r="AQ113" i="14"/>
  <c r="AP113" i="14"/>
  <c r="AO113" i="14"/>
  <c r="AN113" i="14"/>
  <c r="AM113" i="14"/>
  <c r="AL113" i="14"/>
  <c r="AK113" i="14"/>
  <c r="AI113" i="14" a="1"/>
  <c r="AI113" i="14" s="1"/>
  <c r="AH113" i="14"/>
  <c r="AF113" i="14"/>
  <c r="AE113" i="14"/>
  <c r="AD113" i="14"/>
  <c r="AC113" i="14" s="1"/>
  <c r="AB113" i="14"/>
  <c r="AA113" i="14"/>
  <c r="Z113" i="14"/>
  <c r="Y113" i="14"/>
  <c r="X113" i="14"/>
  <c r="V113" i="14"/>
  <c r="U113" i="14"/>
  <c r="N113" i="14"/>
  <c r="P113" i="14" s="1"/>
  <c r="M113" i="14"/>
  <c r="K113" i="14"/>
  <c r="Q113" i="14" a="1"/>
  <c r="Q113" i="14" l="1"/>
  <c r="W113" i="14"/>
  <c r="J113" i="14"/>
  <c r="H113" i="14"/>
  <c r="G113" i="14"/>
  <c r="AJ113" i="14" s="1"/>
  <c r="F113" i="14"/>
  <c r="E113" i="14"/>
  <c r="D113" i="14"/>
  <c r="C113" i="14"/>
  <c r="AU112" i="14"/>
  <c r="AT112" i="14"/>
  <c r="AS112" i="14"/>
  <c r="AR112" i="14"/>
  <c r="AQ112" i="14"/>
  <c r="AP112" i="14"/>
  <c r="AO112" i="14"/>
  <c r="AN112" i="14"/>
  <c r="AM112" i="14"/>
  <c r="AL112" i="14"/>
  <c r="AK112" i="14"/>
  <c r="AI112" i="14" a="1"/>
  <c r="AI112" i="14" s="1"/>
  <c r="AH112" i="14"/>
  <c r="AF112" i="14"/>
  <c r="AE112" i="14"/>
  <c r="AD112" i="14"/>
  <c r="AC112" i="14" s="1"/>
  <c r="AB112" i="14"/>
  <c r="AA112" i="14"/>
  <c r="Z112" i="14"/>
  <c r="Y112" i="14"/>
  <c r="X112" i="14"/>
  <c r="V112" i="14"/>
  <c r="U112" i="14"/>
  <c r="N112" i="14"/>
  <c r="P112" i="14" s="1"/>
  <c r="M112" i="14"/>
  <c r="K112" i="14"/>
  <c r="Q112" i="14" a="1"/>
  <c r="Q112" i="14" l="1"/>
  <c r="W112" i="14"/>
  <c r="J112" i="14"/>
  <c r="H112" i="14"/>
  <c r="G112" i="14"/>
  <c r="AJ112" i="14" s="1"/>
  <c r="F112" i="14"/>
  <c r="E112" i="14"/>
  <c r="D112" i="14"/>
  <c r="C112" i="14"/>
  <c r="AU111" i="14"/>
  <c r="AT111" i="14"/>
  <c r="AS111" i="14"/>
  <c r="AR111" i="14"/>
  <c r="AQ111" i="14"/>
  <c r="AP111" i="14"/>
  <c r="AO111" i="14"/>
  <c r="AN111" i="14"/>
  <c r="AM111" i="14"/>
  <c r="AL111" i="14"/>
  <c r="AK111" i="14"/>
  <c r="AI111" i="14" a="1"/>
  <c r="AI111" i="14" s="1"/>
  <c r="AH111" i="14"/>
  <c r="AF111" i="14"/>
  <c r="AE111" i="14"/>
  <c r="AD111" i="14"/>
  <c r="AC111" i="14"/>
  <c r="AB111" i="14"/>
  <c r="AA111" i="14"/>
  <c r="Z111" i="14"/>
  <c r="Y111" i="14"/>
  <c r="X111" i="14"/>
  <c r="V111" i="14"/>
  <c r="U111" i="14"/>
  <c r="N111" i="14"/>
  <c r="P111" i="14" s="1"/>
  <c r="M111" i="14"/>
  <c r="K111" i="14"/>
  <c r="Q111" i="14" a="1"/>
  <c r="Q111" i="14" l="1"/>
  <c r="W111" i="14"/>
  <c r="J111" i="14"/>
  <c r="H111" i="14"/>
  <c r="G111" i="14"/>
  <c r="AJ111" i="14" s="1"/>
  <c r="F111" i="14"/>
  <c r="E111" i="14"/>
  <c r="D111" i="14"/>
  <c r="C111" i="14"/>
  <c r="AC110" i="14"/>
  <c r="U110" i="14"/>
  <c r="M110" i="14" l="1"/>
  <c r="V110" i="14" a="1"/>
  <c r="V110" i="14" l="1"/>
  <c r="AJ110" i="14"/>
  <c r="J110" i="14"/>
  <c r="AC109" i="14"/>
  <c r="U109" i="14"/>
  <c r="M109" i="14" l="1"/>
  <c r="V109" i="14" a="1"/>
  <c r="V109" i="14" l="1"/>
  <c r="AJ109" i="14"/>
  <c r="J109" i="14"/>
  <c r="AC108" i="14"/>
  <c r="U108" i="14"/>
  <c r="M108" i="14" l="1"/>
  <c r="AJ108" i="14" l="1"/>
  <c r="AC107" i="14"/>
  <c r="U107" i="14"/>
  <c r="V108" i="14" a="1"/>
  <c r="V108" i="14" l="1"/>
  <c r="M107" i="14" l="1"/>
  <c r="AJ107" i="14" l="1"/>
  <c r="J107" i="14"/>
  <c r="AC106" i="14"/>
  <c r="U106" i="14"/>
  <c r="M106" i="14" l="1"/>
  <c r="V106" i="14" a="1"/>
  <c r="V106" i="14" l="1"/>
  <c r="AJ106" i="14"/>
  <c r="J106" i="14"/>
  <c r="AC105" i="14"/>
  <c r="U105" i="14"/>
  <c r="AI105" i="14" a="1"/>
  <c r="AI105" i="14" l="1"/>
  <c r="M105" i="14" l="1"/>
  <c r="AJ105" i="14" l="1"/>
  <c r="J105" i="14"/>
  <c r="AC104" i="14"/>
  <c r="U104" i="14"/>
  <c r="M104" i="14" l="1"/>
  <c r="V104" i="14" a="1"/>
  <c r="V104" i="14" l="1"/>
  <c r="AJ104" i="14"/>
  <c r="J104" i="14"/>
  <c r="AC103" i="14"/>
  <c r="U103" i="14"/>
  <c r="AI103" i="14" a="1"/>
  <c r="AI103" i="14" l="1"/>
  <c r="M103" i="14" l="1"/>
  <c r="V103" i="14" a="1"/>
  <c r="V103" i="14" l="1"/>
  <c r="AJ103" i="14"/>
  <c r="J103" i="14"/>
  <c r="AC102" i="14"/>
  <c r="U102" i="14"/>
  <c r="M102" i="14" l="1"/>
  <c r="AC101" i="14" l="1"/>
  <c r="U101" i="14"/>
  <c r="V102" i="14" a="1"/>
  <c r="V102" i="14" l="1"/>
  <c r="AJ102" i="14"/>
  <c r="M101" i="14"/>
  <c r="V101" i="14" a="1"/>
  <c r="V101" i="14" l="1"/>
  <c r="AJ101" i="14"/>
  <c r="AC100" i="14"/>
  <c r="U100" i="14"/>
  <c r="M100" i="14" l="1"/>
  <c r="V100" i="14" a="1"/>
  <c r="V100" i="14" l="1"/>
  <c r="AJ100" i="14"/>
  <c r="J100" i="14"/>
  <c r="AC99" i="14"/>
  <c r="U99" i="14"/>
  <c r="M99" i="14" l="1"/>
  <c r="V99" i="14" a="1"/>
  <c r="V99" i="14" l="1"/>
  <c r="AJ99" i="14"/>
  <c r="J99" i="14"/>
  <c r="AC98" i="14"/>
  <c r="U98" i="14"/>
  <c r="AI98" i="14" a="1"/>
  <c r="AI98" i="14" l="1"/>
  <c r="M98" i="14" l="1"/>
  <c r="V98" i="14" a="1"/>
  <c r="V98" i="14" l="1"/>
  <c r="AJ98" i="14"/>
  <c r="J98" i="14"/>
  <c r="AC97" i="14"/>
  <c r="U97" i="14"/>
  <c r="AI97" i="14" a="1"/>
  <c r="AI97" i="14" l="1"/>
  <c r="M97" i="14" l="1"/>
  <c r="V97" i="14" a="1"/>
  <c r="V97" i="14" l="1"/>
  <c r="AJ97" i="14"/>
  <c r="J97" i="14"/>
  <c r="AC96" i="14"/>
  <c r="U96" i="14"/>
  <c r="M96" i="14" l="1"/>
  <c r="AJ96" i="14" l="1"/>
  <c r="J96" i="14"/>
  <c r="AC95" i="14"/>
  <c r="U95" i="14"/>
  <c r="M95" i="14" l="1"/>
  <c r="V95" i="14" a="1"/>
  <c r="V95" i="14" l="1"/>
  <c r="AJ95" i="14"/>
  <c r="J95" i="14"/>
  <c r="AC94" i="14"/>
  <c r="U94" i="14"/>
  <c r="M94" i="14" l="1"/>
  <c r="V94" i="14" a="1"/>
  <c r="V94" i="14" l="1"/>
  <c r="AJ94" i="14"/>
  <c r="AC93" i="14"/>
  <c r="U93" i="14"/>
  <c r="M93" i="14" l="1"/>
  <c r="AJ93" i="14" l="1"/>
  <c r="J93" i="14"/>
  <c r="AC92" i="14"/>
  <c r="U92" i="14"/>
  <c r="M92" i="14" l="1"/>
  <c r="V92" i="14" a="1"/>
  <c r="V92" i="14" l="1"/>
  <c r="AJ92" i="14"/>
  <c r="J92" i="14"/>
  <c r="AC91" i="14"/>
  <c r="U91" i="14"/>
  <c r="M91" i="14" l="1"/>
  <c r="AC90" i="14" l="1"/>
  <c r="U90" i="14"/>
  <c r="V91" i="14" a="1"/>
  <c r="V91" i="14" l="1"/>
  <c r="AJ91" i="14"/>
  <c r="M90" i="14" l="1"/>
  <c r="AC89" i="14" l="1"/>
  <c r="U89" i="14"/>
  <c r="V90" i="14" a="1"/>
  <c r="V90" i="14" l="1"/>
  <c r="AJ90" i="14"/>
  <c r="M89" i="14" l="1"/>
  <c r="V89" i="14" a="1"/>
  <c r="V89" i="14" l="1"/>
  <c r="AJ89" i="14"/>
  <c r="J89" i="14"/>
  <c r="AC88" i="14"/>
  <c r="U88" i="14"/>
  <c r="M88" i="14" l="1"/>
  <c r="V88" i="14" a="1"/>
  <c r="V88" i="14" l="1"/>
  <c r="AJ88" i="14"/>
  <c r="J88" i="14"/>
  <c r="AC87" i="14"/>
  <c r="U87" i="14"/>
  <c r="M87" i="14" l="1"/>
  <c r="AC86" i="14" l="1"/>
  <c r="U86" i="14"/>
  <c r="V87" i="14" a="1"/>
  <c r="V87" i="14" l="1"/>
  <c r="AJ87" i="14"/>
  <c r="M86" i="14" l="1"/>
  <c r="AC85" i="14" l="1"/>
  <c r="U85" i="14"/>
  <c r="V86" i="14" a="1"/>
  <c r="V86" i="14" l="1"/>
  <c r="AJ86" i="14"/>
  <c r="M85" i="14" l="1"/>
  <c r="V85" i="14" a="1"/>
  <c r="V85" i="14" l="1"/>
  <c r="AJ85" i="14"/>
  <c r="J85" i="14"/>
  <c r="AC84" i="14"/>
  <c r="U84" i="14"/>
  <c r="M84" i="14" l="1"/>
  <c r="V84" i="14" a="1"/>
  <c r="V84" i="14" l="1"/>
  <c r="AJ84" i="14"/>
  <c r="AC83" i="14"/>
  <c r="U83" i="14"/>
  <c r="M83" i="14" l="1"/>
  <c r="AC82" i="14" l="1"/>
  <c r="U82" i="14"/>
  <c r="V83" i="14" a="1"/>
  <c r="V83" i="14" l="1"/>
  <c r="AJ83" i="14"/>
  <c r="M82" i="14" l="1"/>
  <c r="AC81" i="14" l="1"/>
  <c r="U81" i="14"/>
  <c r="V82" i="14" a="1"/>
  <c r="V82" i="14" l="1"/>
  <c r="AJ82" i="14"/>
  <c r="M81" i="14"/>
  <c r="V81" i="14" a="1"/>
  <c r="V81" i="14" l="1"/>
  <c r="AJ81" i="14"/>
  <c r="AC80" i="14"/>
  <c r="U80" i="14"/>
  <c r="M80" i="14" l="1"/>
  <c r="V80" i="14" a="1"/>
  <c r="V80" i="14" l="1"/>
  <c r="AJ80" i="14"/>
  <c r="J80" i="14"/>
  <c r="AC79" i="14"/>
  <c r="U79" i="14"/>
  <c r="M79" i="14" l="1"/>
  <c r="AC78" i="14" l="1"/>
  <c r="U78" i="14"/>
  <c r="V79" i="14" a="1"/>
  <c r="V79" i="14" l="1"/>
  <c r="AJ79" i="14"/>
  <c r="M78" i="14" l="1"/>
  <c r="AC77" i="14" l="1"/>
  <c r="U77" i="14"/>
  <c r="V78" i="14" a="1"/>
  <c r="V78" i="14" l="1"/>
  <c r="AJ78" i="14"/>
  <c r="M77" i="14" l="1"/>
  <c r="V77" i="14" a="1"/>
  <c r="V77" i="14" l="1"/>
  <c r="AJ77" i="14"/>
  <c r="J77" i="14"/>
  <c r="AC76" i="14"/>
  <c r="U76" i="14"/>
  <c r="M76" i="14" l="1"/>
  <c r="V76" i="14" a="1"/>
  <c r="V76" i="14" l="1"/>
  <c r="AJ76" i="14"/>
  <c r="J76" i="14"/>
  <c r="AC75" i="14"/>
  <c r="U75" i="14"/>
  <c r="M75" i="14" l="1"/>
  <c r="AC74" i="14" l="1"/>
  <c r="U74" i="14"/>
  <c r="V75" i="14" a="1"/>
  <c r="V75" i="14" l="1"/>
  <c r="AJ75" i="14"/>
  <c r="M74" i="14" l="1"/>
  <c r="V74" i="14" a="1"/>
  <c r="V74" i="14" l="1"/>
  <c r="AJ74" i="14"/>
  <c r="J74" i="14"/>
  <c r="AC73" i="14"/>
  <c r="U73" i="14"/>
  <c r="M73" i="14" l="1"/>
  <c r="AC72" i="14" l="1"/>
  <c r="U72" i="14"/>
  <c r="V73" i="14" a="1"/>
  <c r="V73" i="14" l="1"/>
  <c r="AJ73" i="14"/>
  <c r="M72" i="14" l="1"/>
  <c r="V72" i="14" a="1"/>
  <c r="V72" i="14" l="1"/>
  <c r="AJ72" i="14"/>
  <c r="J72" i="14"/>
  <c r="AC71" i="14"/>
  <c r="U71" i="14"/>
  <c r="M71" i="14" l="1"/>
  <c r="V71" i="14" a="1"/>
  <c r="V71" i="14" l="1"/>
  <c r="AJ71" i="14"/>
  <c r="J71" i="14"/>
  <c r="AC70" i="14"/>
  <c r="U70" i="14"/>
  <c r="AI70" i="14" a="1"/>
  <c r="AI70" i="14" l="1"/>
  <c r="M70" i="14" l="1"/>
  <c r="V70" i="14" a="1"/>
  <c r="V70" i="14" l="1"/>
  <c r="AJ70" i="14"/>
  <c r="J70" i="14"/>
  <c r="AC69" i="14"/>
  <c r="U69" i="14"/>
  <c r="M69" i="14" l="1"/>
  <c r="V69" i="14" a="1"/>
  <c r="V69" i="14" l="1"/>
  <c r="AJ69" i="14"/>
  <c r="J69" i="14"/>
  <c r="AC68" i="14"/>
  <c r="U68" i="14"/>
  <c r="M68" i="14" l="1"/>
  <c r="AC67" i="14" l="1"/>
  <c r="U67" i="14"/>
  <c r="V68" i="14" a="1"/>
  <c r="V68" i="14" l="1"/>
  <c r="AJ68" i="14"/>
  <c r="M67" i="14" l="1"/>
  <c r="AC66" i="14" l="1"/>
  <c r="U66" i="14"/>
  <c r="V67" i="14" a="1"/>
  <c r="V67" i="14" l="1"/>
  <c r="AJ67" i="14"/>
  <c r="M66" i="14" l="1"/>
  <c r="V66" i="14" a="1"/>
  <c r="V66" i="14" l="1"/>
  <c r="AJ66" i="14"/>
  <c r="AC65" i="14"/>
  <c r="U65" i="14"/>
  <c r="M65" i="14" l="1"/>
  <c r="AC64" i="14" l="1"/>
  <c r="U64" i="14"/>
  <c r="V65" i="14" a="1"/>
  <c r="V65" i="14" l="1"/>
  <c r="AJ65" i="14"/>
  <c r="M64" i="14" l="1"/>
  <c r="V64" i="14" a="1"/>
  <c r="V64" i="14" l="1"/>
  <c r="AJ64" i="14"/>
  <c r="J64" i="14"/>
  <c r="AC63" i="14"/>
  <c r="U63" i="14"/>
  <c r="M63" i="14" l="1"/>
  <c r="V63" i="14" a="1"/>
  <c r="V63" i="14" l="1"/>
  <c r="AJ63" i="14"/>
  <c r="J63" i="14"/>
  <c r="AC62" i="14"/>
  <c r="U62" i="14"/>
  <c r="AI62" i="14" a="1"/>
  <c r="AI62" i="14" l="1"/>
  <c r="M62" i="14" l="1"/>
  <c r="V62" i="14" a="1"/>
  <c r="V62" i="14" l="1"/>
  <c r="AJ62" i="14"/>
  <c r="J62" i="14"/>
  <c r="AC61" i="14"/>
  <c r="U61" i="14"/>
  <c r="M61" i="14" l="1"/>
  <c r="V61" i="14" a="1"/>
  <c r="V61" i="14" l="1"/>
  <c r="AJ61" i="14"/>
  <c r="J61" i="14"/>
  <c r="AC60" i="14"/>
  <c r="U60" i="14"/>
  <c r="AI60" i="14" a="1"/>
  <c r="AI60" i="14" l="1"/>
  <c r="M60" i="14" l="1"/>
  <c r="V60" i="14" a="1"/>
  <c r="V60" i="14" l="1"/>
  <c r="AJ60" i="14"/>
  <c r="AC59" i="14"/>
  <c r="U59" i="14"/>
  <c r="AI59" i="14" a="1"/>
  <c r="AI59" i="14" l="1"/>
  <c r="M59" i="14" l="1"/>
  <c r="V59" i="14" a="1"/>
  <c r="V59" i="14" l="1"/>
  <c r="AJ59" i="14"/>
  <c r="J59" i="14"/>
  <c r="AC58" i="14"/>
  <c r="U58" i="14"/>
  <c r="M58" i="14" l="1"/>
  <c r="V58" i="14" a="1"/>
  <c r="V58" i="14" l="1"/>
  <c r="AJ58" i="14"/>
  <c r="J58" i="14"/>
  <c r="AC57" i="14"/>
  <c r="U57" i="14"/>
  <c r="M57" i="14" l="1"/>
  <c r="V57" i="14" a="1"/>
  <c r="V57" i="14" l="1"/>
  <c r="AJ57" i="14"/>
  <c r="J57" i="14"/>
  <c r="AC56" i="14"/>
  <c r="U56" i="14"/>
  <c r="AI56" i="14" a="1"/>
  <c r="AI56" i="14" l="1"/>
  <c r="M56" i="14" l="1"/>
  <c r="V56" i="14" a="1"/>
  <c r="V56" i="14" l="1"/>
  <c r="AJ56" i="14"/>
  <c r="J56" i="14"/>
  <c r="AC55" i="14"/>
  <c r="U55" i="14"/>
  <c r="M55" i="14" l="1"/>
  <c r="AC54" i="14" l="1"/>
  <c r="U54" i="14"/>
  <c r="V55" i="14" a="1"/>
  <c r="V55" i="14" l="1"/>
  <c r="AJ55" i="14"/>
  <c r="M54" i="14" l="1"/>
  <c r="AC53" i="14" l="1"/>
  <c r="U53" i="14"/>
  <c r="V54" i="14" a="1"/>
  <c r="V54" i="14" l="1"/>
  <c r="AJ54" i="14"/>
  <c r="M53" i="14" l="1"/>
  <c r="AC52" i="14" l="1"/>
  <c r="U52" i="14"/>
  <c r="V53" i="14" a="1"/>
  <c r="V53" i="14" l="1"/>
  <c r="AJ53" i="14"/>
  <c r="M52" i="14" l="1"/>
  <c r="V52" i="14" a="1"/>
  <c r="V52" i="14" l="1"/>
  <c r="AJ52" i="14"/>
  <c r="J52" i="14"/>
  <c r="AC51" i="14"/>
  <c r="U51" i="14"/>
  <c r="M51" i="14" l="1"/>
  <c r="AJ51" i="14" l="1"/>
  <c r="AC50" i="14"/>
  <c r="U50" i="14"/>
  <c r="V51" i="14" a="1"/>
  <c r="V51" i="14" l="1"/>
  <c r="M50" i="14" l="1"/>
  <c r="V50" i="14" a="1"/>
  <c r="V50" i="14" l="1"/>
  <c r="AJ50" i="14"/>
  <c r="J50" i="14"/>
  <c r="AC49" i="14"/>
  <c r="U49" i="14"/>
  <c r="M49" i="14" l="1"/>
  <c r="AC48" i="14" l="1"/>
  <c r="U48" i="14"/>
  <c r="V49" i="14" a="1"/>
  <c r="V49" i="14" l="1"/>
  <c r="AJ49" i="14"/>
  <c r="M48" i="14"/>
  <c r="AC47" i="14" l="1"/>
  <c r="U47" i="14"/>
  <c r="V48" i="14" a="1"/>
  <c r="V48" i="14" l="1"/>
  <c r="AJ48" i="14"/>
  <c r="M47" i="14" l="1"/>
  <c r="V47" i="14" a="1"/>
  <c r="V47" i="14" l="1"/>
  <c r="AJ47" i="14"/>
  <c r="J47" i="14"/>
  <c r="AC46" i="14"/>
  <c r="U46" i="14"/>
  <c r="M46" i="14" l="1"/>
  <c r="AC45" i="14" l="1"/>
  <c r="U45" i="14"/>
  <c r="V46" i="14" a="1"/>
  <c r="V46" i="14" l="1"/>
  <c r="AJ46" i="14"/>
  <c r="M45" i="14" l="1"/>
  <c r="AC44" i="14" l="1"/>
  <c r="U44" i="14"/>
  <c r="V45" i="14" a="1"/>
  <c r="V45" i="14" l="1"/>
  <c r="AJ45" i="14"/>
  <c r="M44" i="14" l="1"/>
  <c r="V44" i="14" a="1"/>
  <c r="V44" i="14" l="1"/>
  <c r="AJ44" i="14"/>
  <c r="J44" i="14"/>
  <c r="AC43" i="14"/>
  <c r="U43" i="14"/>
  <c r="M43" i="14" l="1"/>
  <c r="AC42" i="14" l="1"/>
  <c r="U42" i="14"/>
  <c r="AI42" i="14" a="1"/>
  <c r="V43" i="14" a="1"/>
  <c r="V43" i="14" l="1"/>
  <c r="AJ43" i="14"/>
  <c r="AI42" i="14"/>
  <c r="M42" i="14" l="1"/>
  <c r="V42" i="14" a="1"/>
  <c r="V42" i="14" l="1"/>
  <c r="AJ42" i="14"/>
  <c r="J42" i="14"/>
  <c r="AC41" i="14"/>
  <c r="U41" i="14"/>
  <c r="AI41" i="14" a="1"/>
  <c r="AI41" i="14" l="1"/>
  <c r="M41" i="14" l="1"/>
  <c r="AC40" i="14" l="1"/>
  <c r="U40" i="14"/>
  <c r="V41" i="14" a="1"/>
  <c r="V41" i="14" l="1"/>
  <c r="AJ41" i="14"/>
  <c r="M40" i="14" l="1"/>
  <c r="AJ40" i="14" l="1"/>
  <c r="J40" i="14"/>
  <c r="AC39" i="14"/>
  <c r="U39" i="14"/>
  <c r="AI39" i="14" a="1"/>
  <c r="AI39" i="14" l="1"/>
  <c r="M39" i="14" l="1"/>
  <c r="AC38" i="14" l="1"/>
  <c r="U38" i="14"/>
  <c r="AI38" i="14" a="1"/>
  <c r="V39" i="14" a="1"/>
  <c r="V39" i="14" l="1"/>
  <c r="AJ39" i="14"/>
  <c r="AI38" i="14"/>
  <c r="M38" i="14" l="1"/>
  <c r="V38" i="14" a="1"/>
  <c r="V38" i="14" l="1"/>
  <c r="AJ38" i="14"/>
  <c r="J38" i="14"/>
  <c r="AC37" i="14"/>
  <c r="U37" i="14"/>
  <c r="M37" i="14" l="1"/>
  <c r="AJ37" i="14" l="1"/>
  <c r="AC36" i="14"/>
  <c r="U36" i="14"/>
  <c r="M36" i="14" l="1"/>
  <c r="V36" i="14" a="1"/>
  <c r="V36" i="14" l="1"/>
  <c r="AJ36" i="14"/>
  <c r="J36" i="14"/>
  <c r="AC35" i="14"/>
  <c r="U35" i="14"/>
  <c r="M35" i="14" l="1"/>
  <c r="V35" i="14" a="1"/>
  <c r="V35" i="14" l="1"/>
  <c r="AJ35" i="14"/>
  <c r="J35" i="14"/>
  <c r="AC34" i="14"/>
  <c r="U34" i="14"/>
  <c r="AI34" i="14" a="1"/>
  <c r="AI34" i="14" l="1"/>
  <c r="M34" i="14" l="1"/>
  <c r="V34" i="14" a="1"/>
  <c r="V34" i="14" l="1"/>
  <c r="AJ34" i="14"/>
  <c r="J34" i="14"/>
  <c r="AC33" i="14"/>
  <c r="U33" i="14"/>
  <c r="M33" i="14" l="1"/>
  <c r="V33" i="14" a="1"/>
  <c r="V33" i="14" l="1"/>
  <c r="AJ33" i="14"/>
  <c r="AC32" i="14"/>
  <c r="U32" i="14"/>
  <c r="AI32" i="14" a="1"/>
  <c r="AI32" i="14" l="1"/>
  <c r="M32" i="14" l="1"/>
  <c r="AC31" i="14" l="1"/>
  <c r="U31" i="14"/>
  <c r="AI31" i="14" a="1"/>
  <c r="V32" i="14" a="1"/>
  <c r="V32" i="14" l="1"/>
  <c r="AJ32" i="14"/>
  <c r="AI31" i="14"/>
  <c r="M31" i="14" l="1"/>
  <c r="AC30" i="14" l="1"/>
  <c r="U30" i="14"/>
  <c r="V31" i="14" a="1"/>
  <c r="V31" i="14" l="1"/>
  <c r="AJ31" i="14"/>
  <c r="M30" i="14" l="1"/>
  <c r="V30" i="14" a="1"/>
  <c r="V30" i="14" l="1"/>
  <c r="AJ30" i="14"/>
  <c r="J30" i="14"/>
  <c r="AC29" i="14"/>
  <c r="U29" i="14"/>
  <c r="AI29" i="14" a="1"/>
  <c r="AI29" i="14" l="1"/>
  <c r="M29" i="14" l="1"/>
  <c r="AC28" i="14" l="1"/>
  <c r="U28" i="14"/>
  <c r="V29" i="14" a="1"/>
  <c r="V29" i="14" l="1"/>
  <c r="AJ29" i="14"/>
  <c r="M28" i="14" l="1"/>
  <c r="V28" i="14" a="1"/>
  <c r="V28" i="14" l="1"/>
  <c r="AJ28" i="14"/>
  <c r="AC27" i="14"/>
  <c r="U27" i="14"/>
  <c r="M27" i="14" l="1"/>
  <c r="V27" i="14" a="1"/>
  <c r="V27" i="14" l="1"/>
  <c r="AJ27" i="14"/>
  <c r="J27" i="14"/>
  <c r="AC26" i="14"/>
  <c r="U26" i="14"/>
  <c r="M26" i="14" l="1"/>
  <c r="AC25" i="14" l="1"/>
  <c r="U25" i="14"/>
  <c r="AI25" i="14" a="1"/>
  <c r="V26" i="14" a="1"/>
  <c r="V26" i="14" l="1"/>
  <c r="AJ26" i="14"/>
  <c r="AI25" i="14"/>
  <c r="M25" i="14" l="1"/>
  <c r="V25" i="14" a="1"/>
  <c r="V25" i="14" l="1"/>
  <c r="AJ25" i="14"/>
  <c r="J25" i="14"/>
  <c r="AC24" i="14"/>
  <c r="U24" i="14"/>
  <c r="AI24" i="14" a="1"/>
  <c r="AI24" i="14" l="1"/>
  <c r="M24" i="14" l="1"/>
  <c r="AC23" i="14" l="1"/>
  <c r="U23" i="14"/>
  <c r="V24" i="14" a="1"/>
  <c r="V24" i="14" l="1"/>
  <c r="AJ24" i="14"/>
  <c r="M23" i="14"/>
  <c r="V23" i="14" a="1"/>
  <c r="V23" i="14" l="1"/>
  <c r="AJ23" i="14"/>
  <c r="AC22" i="14"/>
  <c r="U22" i="14"/>
  <c r="M22" i="14" l="1"/>
  <c r="AC21" i="14" l="1"/>
  <c r="U21" i="14"/>
  <c r="V22" i="14" a="1"/>
  <c r="V22" i="14" l="1"/>
  <c r="AJ22" i="14"/>
  <c r="M21" i="14"/>
  <c r="AC20" i="14" l="1"/>
  <c r="U20" i="14"/>
  <c r="V21" i="14" a="1"/>
  <c r="V21" i="14" l="1"/>
  <c r="AJ21" i="14"/>
  <c r="M20" i="14" l="1"/>
  <c r="V20" i="14" a="1"/>
  <c r="V20" i="14" l="1"/>
  <c r="AJ20" i="14"/>
  <c r="AC19" i="14"/>
  <c r="U19" i="14"/>
  <c r="M19" i="14" l="1"/>
  <c r="AC18" i="14" l="1"/>
  <c r="U18" i="14"/>
  <c r="V19" i="14" a="1"/>
  <c r="V19" i="14" l="1"/>
  <c r="AJ19" i="14"/>
  <c r="M18" i="14" l="1"/>
  <c r="AC17" i="14" l="1"/>
  <c r="U17" i="14"/>
  <c r="V18" i="14" a="1"/>
  <c r="V18" i="14" l="1"/>
  <c r="AJ18" i="14"/>
  <c r="M17" i="14"/>
  <c r="V17" i="14" a="1"/>
  <c r="V17" i="14" l="1"/>
  <c r="AJ17" i="14"/>
  <c r="J17" i="14"/>
  <c r="AC16" i="14"/>
  <c r="U16" i="14"/>
  <c r="M16" i="14" l="1"/>
  <c r="AC15" i="14" l="1"/>
  <c r="U15" i="14"/>
  <c r="V16" i="14" a="1"/>
  <c r="V16" i="14" l="1"/>
  <c r="AJ16" i="14"/>
  <c r="M15" i="14"/>
  <c r="V15" i="14" a="1"/>
  <c r="V15" i="14" l="1"/>
  <c r="AJ15" i="14"/>
  <c r="J15" i="14"/>
  <c r="AC14" i="14"/>
  <c r="U14" i="14"/>
  <c r="AI14" i="14" a="1"/>
  <c r="AI14" i="14" l="1"/>
  <c r="M14" i="14" l="1"/>
  <c r="V14" i="14" a="1"/>
  <c r="V14" i="14" l="1"/>
  <c r="AJ14" i="14"/>
  <c r="J14" i="14"/>
  <c r="AC13" i="14"/>
  <c r="U13" i="14"/>
  <c r="M13" i="14" l="1"/>
  <c r="V13" i="14" a="1"/>
  <c r="V13" i="14" l="1"/>
  <c r="AJ13" i="14"/>
  <c r="J13" i="14"/>
  <c r="AC12" i="14"/>
  <c r="U12" i="14"/>
  <c r="M12" i="14" l="1"/>
  <c r="V12" i="14" a="1"/>
  <c r="V12" i="14" l="1"/>
  <c r="AJ12" i="14"/>
  <c r="J12" i="14"/>
  <c r="AC11" i="14"/>
  <c r="U11" i="14"/>
  <c r="M11" i="14" l="1"/>
  <c r="Q10" i="14" l="1"/>
  <c r="AA9" i="14"/>
  <c r="Z9" i="14"/>
  <c r="Y9" i="14"/>
  <c r="X9" i="14"/>
  <c r="Q9" i="14"/>
  <c r="N9" i="14"/>
  <c r="N11" i="14"/>
  <c r="N12" i="14"/>
  <c r="N13" i="14"/>
  <c r="N14" i="14"/>
  <c r="N15" i="14"/>
  <c r="N16" i="14"/>
  <c r="N17" i="14"/>
  <c r="N18" i="14"/>
  <c r="N19" i="14"/>
  <c r="N20" i="14"/>
  <c r="N21" i="14"/>
  <c r="N22" i="14"/>
  <c r="N23" i="14"/>
  <c r="N24" i="14"/>
  <c r="N25" i="14"/>
  <c r="N26" i="14"/>
  <c r="N27" i="14"/>
  <c r="N28" i="14"/>
  <c r="N29" i="14"/>
  <c r="N30" i="14"/>
  <c r="N31" i="14"/>
  <c r="N32" i="14"/>
  <c r="N33" i="14"/>
  <c r="N34" i="14"/>
  <c r="N35" i="14"/>
  <c r="N36" i="14"/>
  <c r="N38" i="14"/>
  <c r="N39" i="14"/>
  <c r="N41" i="14"/>
  <c r="N42" i="14"/>
  <c r="N43" i="14"/>
  <c r="N44" i="14"/>
  <c r="N45" i="14"/>
  <c r="N46" i="14"/>
  <c r="N47" i="14"/>
  <c r="N48" i="14"/>
  <c r="N49" i="14"/>
  <c r="N50" i="14"/>
  <c r="N51" i="14"/>
  <c r="N52" i="14"/>
  <c r="N53" i="14"/>
  <c r="N54" i="14"/>
  <c r="N55" i="14"/>
  <c r="N56" i="14"/>
  <c r="N57" i="14"/>
  <c r="N58" i="14"/>
  <c r="N59" i="14"/>
  <c r="N60" i="14"/>
  <c r="N61" i="14"/>
  <c r="N62" i="14"/>
  <c r="N63" i="14"/>
  <c r="N64" i="14"/>
  <c r="N65" i="14"/>
  <c r="N66" i="14"/>
  <c r="N67" i="14"/>
  <c r="N68" i="14"/>
  <c r="N69" i="14"/>
  <c r="N70" i="14"/>
  <c r="N71" i="14"/>
  <c r="N72" i="14"/>
  <c r="N73" i="14"/>
  <c r="N74" i="14"/>
  <c r="N75" i="14"/>
  <c r="N76" i="14"/>
  <c r="N77" i="14"/>
  <c r="N78" i="14"/>
  <c r="N79" i="14"/>
  <c r="N80" i="14"/>
  <c r="N81" i="14"/>
  <c r="N82" i="14"/>
  <c r="N83" i="14"/>
  <c r="N84" i="14"/>
  <c r="N85" i="14"/>
  <c r="N86" i="14"/>
  <c r="N87" i="14"/>
  <c r="N88" i="14"/>
  <c r="N89" i="14"/>
  <c r="N90" i="14"/>
  <c r="N91" i="14"/>
  <c r="N92" i="14"/>
  <c r="N94" i="14"/>
  <c r="N95" i="14"/>
  <c r="N97" i="14"/>
  <c r="N98" i="14"/>
  <c r="N99" i="14"/>
  <c r="N100" i="14"/>
  <c r="N101" i="14"/>
  <c r="N102" i="14"/>
  <c r="N103" i="14"/>
  <c r="N104" i="14"/>
  <c r="N106" i="14"/>
  <c r="N108" i="14"/>
  <c r="N109" i="14"/>
  <c r="N110" i="14"/>
  <c r="V11" i="14" a="1"/>
  <c r="V11" i="14" l="1"/>
  <c r="AJ11" i="14"/>
  <c r="P110" i="14"/>
  <c r="P109" i="14"/>
  <c r="P108" i="14"/>
  <c r="P107" i="14"/>
  <c r="P106" i="14"/>
  <c r="P105" i="14"/>
  <c r="P104" i="14"/>
  <c r="P103" i="14"/>
  <c r="P102" i="14"/>
  <c r="P101" i="14"/>
  <c r="P100" i="14"/>
  <c r="P99" i="14"/>
  <c r="P98" i="14"/>
  <c r="P97" i="14"/>
  <c r="P96" i="14"/>
  <c r="P95" i="14"/>
  <c r="P94" i="14"/>
  <c r="P93" i="14"/>
  <c r="P92" i="14"/>
  <c r="P91" i="14"/>
  <c r="P90" i="14"/>
  <c r="P89" i="14"/>
  <c r="P88" i="14"/>
  <c r="P87" i="14"/>
  <c r="P86" i="14"/>
  <c r="P85" i="14"/>
  <c r="P84" i="14"/>
  <c r="P83" i="14"/>
  <c r="P82" i="14"/>
  <c r="P81" i="14"/>
  <c r="P80" i="14"/>
  <c r="P79" i="14"/>
  <c r="P78" i="14"/>
  <c r="P77" i="14"/>
  <c r="P76" i="14"/>
  <c r="P75" i="14"/>
  <c r="P74" i="14"/>
  <c r="P73" i="14"/>
  <c r="P72" i="14"/>
  <c r="P71" i="14"/>
  <c r="P70" i="14"/>
  <c r="P69" i="14"/>
  <c r="P68" i="14"/>
  <c r="P67" i="14"/>
  <c r="P66" i="14"/>
  <c r="P65" i="14"/>
  <c r="P64" i="14"/>
  <c r="P63" i="14"/>
  <c r="P62" i="14"/>
  <c r="P61" i="14"/>
  <c r="P60" i="14"/>
  <c r="P59" i="14"/>
  <c r="P58" i="14"/>
  <c r="P57" i="14"/>
  <c r="P56" i="14"/>
  <c r="P55" i="14"/>
  <c r="P54" i="14"/>
  <c r="P53" i="14"/>
  <c r="P52" i="14"/>
  <c r="P51" i="14"/>
  <c r="P50" i="14"/>
  <c r="P49" i="14"/>
  <c r="P48" i="14"/>
  <c r="P47" i="14"/>
  <c r="P46" i="14"/>
  <c r="P45" i="14"/>
  <c r="P44" i="14"/>
  <c r="P43" i="14"/>
  <c r="P42" i="14"/>
  <c r="P41" i="14"/>
  <c r="P40" i="14"/>
  <c r="P39" i="14"/>
  <c r="P38" i="14"/>
  <c r="P37" i="14"/>
  <c r="P36" i="14"/>
  <c r="P35" i="14"/>
  <c r="P34" i="14"/>
  <c r="P33" i="14"/>
  <c r="P32" i="14"/>
  <c r="P31" i="14"/>
  <c r="P30" i="14"/>
  <c r="P29" i="14"/>
  <c r="P28" i="14"/>
  <c r="P27" i="14"/>
  <c r="P26" i="14"/>
  <c r="P25" i="14"/>
  <c r="P24" i="14"/>
  <c r="P23" i="14"/>
  <c r="P22" i="14"/>
  <c r="P21" i="14"/>
  <c r="P20" i="14"/>
  <c r="P19" i="14"/>
  <c r="P18" i="14"/>
  <c r="P17" i="14"/>
  <c r="P16" i="14"/>
  <c r="P15" i="14"/>
  <c r="P14" i="14"/>
  <c r="P13" i="14"/>
  <c r="P12" i="14"/>
  <c r="P11" i="14"/>
  <c r="S160" i="14"/>
  <c r="S159" i="14"/>
  <c r="S158" i="14"/>
  <c r="S157" i="14"/>
  <c r="S156" i="14"/>
  <c r="S155" i="14"/>
  <c r="S154" i="14"/>
  <c r="S153" i="14"/>
  <c r="S152" i="14"/>
  <c r="S151" i="14"/>
  <c r="S150" i="14"/>
  <c r="S149" i="14"/>
  <c r="S148" i="14"/>
  <c r="S147" i="14"/>
  <c r="S146" i="14"/>
  <c r="S145" i="14"/>
  <c r="S144" i="14"/>
  <c r="S143" i="14"/>
  <c r="S142" i="14"/>
  <c r="S141" i="14"/>
  <c r="S140" i="14"/>
  <c r="S139" i="14"/>
  <c r="S138" i="14"/>
  <c r="S137" i="14"/>
  <c r="S136" i="14"/>
  <c r="S135" i="14"/>
  <c r="S134" i="14"/>
  <c r="S133" i="14"/>
  <c r="S132" i="14"/>
  <c r="S131" i="14"/>
  <c r="S130" i="14"/>
  <c r="S129" i="14"/>
  <c r="S128" i="14"/>
  <c r="S127" i="14"/>
  <c r="S126" i="14"/>
  <c r="S125" i="14"/>
  <c r="S124" i="14"/>
  <c r="S123" i="14"/>
  <c r="S122" i="14"/>
  <c r="S121" i="14"/>
  <c r="S120" i="14"/>
  <c r="S119" i="14"/>
  <c r="S118" i="14"/>
  <c r="S117" i="14"/>
  <c r="S116" i="14"/>
  <c r="S115" i="14"/>
  <c r="S114" i="14"/>
  <c r="S113" i="14"/>
  <c r="S112" i="14"/>
  <c r="S111" i="14"/>
  <c r="Q96" i="14" a="1"/>
  <c r="Q93" i="14" a="1"/>
  <c r="Q107" i="14" a="1"/>
  <c r="Q105" i="14" a="1"/>
  <c r="Q40" i="14" a="1"/>
  <c r="Q37" i="14" a="1"/>
  <c r="Q110" i="14"/>
  <c r="Q94" i="14"/>
  <c r="Q78" i="14"/>
  <c r="Q62" i="14"/>
  <c r="Q46" i="14"/>
  <c r="Q30" i="14"/>
  <c r="Q14" i="14"/>
  <c r="Q24" i="14"/>
  <c r="Q101" i="14"/>
  <c r="Q52" i="14"/>
  <c r="Q83" i="14"/>
  <c r="Q50" i="14"/>
  <c r="Q80" i="14"/>
  <c r="Q109" i="14"/>
  <c r="Q77" i="14"/>
  <c r="Q61" i="14"/>
  <c r="Q45" i="14"/>
  <c r="Q29" i="14"/>
  <c r="Q13" i="14"/>
  <c r="Q88" i="14"/>
  <c r="Q100" i="14"/>
  <c r="Q20" i="14"/>
  <c r="Q51" i="14"/>
  <c r="Q18" i="14"/>
  <c r="Q81" i="14"/>
  <c r="Q108" i="14"/>
  <c r="Q92" i="14"/>
  <c r="Q76" i="14"/>
  <c r="Q60" i="14"/>
  <c r="Q44" i="14"/>
  <c r="Q28" i="14"/>
  <c r="Q12" i="14"/>
  <c r="Q86" i="14"/>
  <c r="Q36" i="14"/>
  <c r="Q99" i="14"/>
  <c r="Q97" i="14"/>
  <c r="Q33" i="14"/>
  <c r="Q48" i="14"/>
  <c r="Q91" i="14"/>
  <c r="Q75" i="14"/>
  <c r="Q59" i="14"/>
  <c r="Q43" i="14"/>
  <c r="Q27" i="14"/>
  <c r="Q11" i="14"/>
  <c r="Q56" i="14"/>
  <c r="Q38" i="14"/>
  <c r="Q35" i="14"/>
  <c r="Q34" i="14"/>
  <c r="Q65" i="14"/>
  <c r="Q16" i="14"/>
  <c r="Q106" i="14"/>
  <c r="Q90" i="14"/>
  <c r="Q74" i="14"/>
  <c r="Q58" i="14"/>
  <c r="Q42" i="14"/>
  <c r="Q26" i="14"/>
  <c r="Q104" i="14"/>
  <c r="Q102" i="14"/>
  <c r="Q70" i="14"/>
  <c r="Q22" i="14"/>
  <c r="Q85" i="14"/>
  <c r="Q89" i="14"/>
  <c r="Q73" i="14"/>
  <c r="Q57" i="14"/>
  <c r="Q41" i="14"/>
  <c r="Q25" i="14"/>
  <c r="Q72" i="14"/>
  <c r="Q69" i="14"/>
  <c r="Q68" i="14"/>
  <c r="Q67" i="14"/>
  <c r="Q82" i="14"/>
  <c r="Q49" i="14"/>
  <c r="Q103" i="14"/>
  <c r="Q87" i="14"/>
  <c r="Q71" i="14"/>
  <c r="Q55" i="14"/>
  <c r="Q39" i="14"/>
  <c r="Q23" i="14"/>
  <c r="Q54" i="14"/>
  <c r="Q53" i="14"/>
  <c r="Q21" i="14"/>
  <c r="Q84" i="14"/>
  <c r="Q66" i="14"/>
  <c r="Q32" i="14"/>
  <c r="Q95" i="14"/>
  <c r="Q79" i="14"/>
  <c r="Q63" i="14"/>
  <c r="Q47" i="14"/>
  <c r="Q31" i="14"/>
  <c r="Q15" i="14"/>
  <c r="Q19" i="14"/>
  <c r="Q98" i="14"/>
  <c r="Q17" i="14"/>
  <c r="Q64" i="14"/>
  <c r="Q105" i="14" l="1"/>
  <c r="Q107" i="14"/>
  <c r="Q93" i="14"/>
  <c r="Q96" i="14"/>
  <c r="Q37" i="14"/>
  <c r="S37" i="14" s="1"/>
  <c r="Q40" i="14"/>
  <c r="S64" i="14"/>
  <c r="S17" i="14"/>
  <c r="S98" i="14"/>
  <c r="S19" i="14"/>
  <c r="S15" i="14"/>
  <c r="S31" i="14"/>
  <c r="S47" i="14"/>
  <c r="S63" i="14"/>
  <c r="S79" i="14"/>
  <c r="S95" i="14"/>
  <c r="S32" i="14"/>
  <c r="S66" i="14"/>
  <c r="S84" i="14"/>
  <c r="S21" i="14"/>
  <c r="S53" i="14"/>
  <c r="S54" i="14"/>
  <c r="S23" i="14"/>
  <c r="S39" i="14"/>
  <c r="S55" i="14"/>
  <c r="S71" i="14"/>
  <c r="S87" i="14"/>
  <c r="S103" i="14"/>
  <c r="S96" i="14"/>
  <c r="S49" i="14"/>
  <c r="S82" i="14"/>
  <c r="S67" i="14"/>
  <c r="S68" i="14"/>
  <c r="S69" i="14"/>
  <c r="S72" i="14"/>
  <c r="S25" i="14"/>
  <c r="S41" i="14"/>
  <c r="S57" i="14"/>
  <c r="S73" i="14"/>
  <c r="S89" i="14"/>
  <c r="S105" i="14"/>
  <c r="S85" i="14"/>
  <c r="S22" i="14"/>
  <c r="S70" i="14"/>
  <c r="S102" i="14"/>
  <c r="S104" i="14"/>
  <c r="S26" i="14"/>
  <c r="S42" i="14"/>
  <c r="S58" i="14"/>
  <c r="S74" i="14"/>
  <c r="S90" i="14"/>
  <c r="S106" i="14"/>
  <c r="S16" i="14"/>
  <c r="S65" i="14"/>
  <c r="S34" i="14"/>
  <c r="S35" i="14"/>
  <c r="S38" i="14"/>
  <c r="S56" i="14"/>
  <c r="S11" i="14"/>
  <c r="S27" i="14"/>
  <c r="S43" i="14"/>
  <c r="S59" i="14"/>
  <c r="S75" i="14"/>
  <c r="S91" i="14"/>
  <c r="S107" i="14"/>
  <c r="S48" i="14"/>
  <c r="S33" i="14"/>
  <c r="S97" i="14"/>
  <c r="S99" i="14"/>
  <c r="S36" i="14"/>
  <c r="S86" i="14"/>
  <c r="S40" i="14"/>
  <c r="S12" i="14"/>
  <c r="S28" i="14"/>
  <c r="S44" i="14"/>
  <c r="S60" i="14"/>
  <c r="S76" i="14"/>
  <c r="S92" i="14"/>
  <c r="S108" i="14"/>
  <c r="S81" i="14"/>
  <c r="S18" i="14"/>
  <c r="S51" i="14"/>
  <c r="S20" i="14"/>
  <c r="S100" i="14"/>
  <c r="S88" i="14"/>
  <c r="S13" i="14"/>
  <c r="S29" i="14"/>
  <c r="S45" i="14"/>
  <c r="S61" i="14"/>
  <c r="S77" i="14"/>
  <c r="S93" i="14"/>
  <c r="S109" i="14"/>
  <c r="S80" i="14"/>
  <c r="S50" i="14"/>
  <c r="S83" i="14"/>
  <c r="S52" i="14"/>
  <c r="S101" i="14"/>
  <c r="S24" i="14"/>
  <c r="S14" i="14"/>
  <c r="S30" i="14"/>
  <c r="S46" i="14"/>
  <c r="S62" i="14"/>
  <c r="S78" i="14"/>
  <c r="S94" i="14"/>
  <c r="S110" i="14"/>
  <c r="W64" i="14"/>
  <c r="W17" i="14"/>
  <c r="W98" i="14"/>
  <c r="W19" i="14"/>
  <c r="W15" i="14"/>
  <c r="W31" i="14"/>
  <c r="W47" i="14"/>
  <c r="W63" i="14"/>
  <c r="W79" i="14"/>
  <c r="W95" i="14"/>
  <c r="W32" i="14"/>
  <c r="W66" i="14"/>
  <c r="W84" i="14"/>
  <c r="W21" i="14"/>
  <c r="W53" i="14"/>
  <c r="W54" i="14"/>
  <c r="W23" i="14"/>
  <c r="W39" i="14"/>
  <c r="W55" i="14"/>
  <c r="W71" i="14"/>
  <c r="W87" i="14"/>
  <c r="W103" i="14"/>
  <c r="W96" i="14"/>
  <c r="W49" i="14"/>
  <c r="W82" i="14"/>
  <c r="W67" i="14"/>
  <c r="W68" i="14"/>
  <c r="W69" i="14"/>
  <c r="W72" i="14"/>
  <c r="W25" i="14"/>
  <c r="W41" i="14"/>
  <c r="W57" i="14"/>
  <c r="W73" i="14"/>
  <c r="W89" i="14"/>
  <c r="W105" i="14"/>
  <c r="W85" i="14"/>
  <c r="W22" i="14"/>
  <c r="W70" i="14"/>
  <c r="W102" i="14"/>
  <c r="W104" i="14"/>
  <c r="W26" i="14"/>
  <c r="W42" i="14"/>
  <c r="W58" i="14"/>
  <c r="W74" i="14"/>
  <c r="W90" i="14"/>
  <c r="W106" i="14"/>
  <c r="W16" i="14"/>
  <c r="W65" i="14"/>
  <c r="W34" i="14"/>
  <c r="W35" i="14"/>
  <c r="W38" i="14"/>
  <c r="W56" i="14"/>
  <c r="W11" i="14"/>
  <c r="W27" i="14"/>
  <c r="W43" i="14"/>
  <c r="W59" i="14"/>
  <c r="W75" i="14"/>
  <c r="W91" i="14"/>
  <c r="W107" i="14"/>
  <c r="W48" i="14"/>
  <c r="W33" i="14"/>
  <c r="W97" i="14"/>
  <c r="W99" i="14"/>
  <c r="W36" i="14"/>
  <c r="W37" i="14"/>
  <c r="W86" i="14"/>
  <c r="W40" i="14"/>
  <c r="W12" i="14"/>
  <c r="W28" i="14"/>
  <c r="W44" i="14"/>
  <c r="W60" i="14"/>
  <c r="W76" i="14"/>
  <c r="W92" i="14"/>
  <c r="W108" i="14"/>
  <c r="W81" i="14"/>
  <c r="W18" i="14"/>
  <c r="W51" i="14"/>
  <c r="W20" i="14"/>
  <c r="W100" i="14"/>
  <c r="W88" i="14"/>
  <c r="W13" i="14"/>
  <c r="W29" i="14"/>
  <c r="W45" i="14"/>
  <c r="W61" i="14"/>
  <c r="W77" i="14"/>
  <c r="W93" i="14"/>
  <c r="W109" i="14"/>
  <c r="W80" i="14"/>
  <c r="W50" i="14"/>
  <c r="W83" i="14"/>
  <c r="W52" i="14"/>
  <c r="W101" i="14"/>
  <c r="W24" i="14"/>
  <c r="W14" i="14"/>
  <c r="W30" i="14"/>
  <c r="W46" i="14"/>
  <c r="W62" i="14"/>
  <c r="W78" i="14"/>
  <c r="W94" i="14"/>
  <c r="W110" i="14"/>
  <c r="X40" i="14" a="1"/>
  <c r="Y40" i="14" a="1"/>
  <c r="AA40" i="14" a="1"/>
  <c r="Z40" i="14" a="1"/>
  <c r="Y37" i="14" a="1"/>
  <c r="X37" i="14" a="1"/>
  <c r="AA37" i="14" a="1"/>
  <c r="Z37" i="14" a="1"/>
  <c r="X64" i="14"/>
  <c r="Z64" i="14"/>
  <c r="AA64" i="14"/>
  <c r="Y64" i="14"/>
  <c r="X23" i="14"/>
  <c r="Z23" i="14"/>
  <c r="AA23" i="14"/>
  <c r="Y23" i="14"/>
  <c r="X73" i="14"/>
  <c r="Z73" i="14"/>
  <c r="AA73" i="14"/>
  <c r="Y73" i="14"/>
  <c r="X34" i="14"/>
  <c r="Z34" i="14"/>
  <c r="AA34" i="14"/>
  <c r="Y34" i="14"/>
  <c r="X13" i="14"/>
  <c r="Z13" i="14"/>
  <c r="AA13" i="14"/>
  <c r="Y13" i="14"/>
  <c r="X62" i="14"/>
  <c r="Z62" i="14"/>
  <c r="AA62" i="14"/>
  <c r="Y62" i="14"/>
  <c r="X55" i="14"/>
  <c r="Z55" i="14"/>
  <c r="AA55" i="14"/>
  <c r="Y55" i="14"/>
  <c r="X85" i="14"/>
  <c r="Z85" i="14"/>
  <c r="AA85" i="14"/>
  <c r="Y85" i="14"/>
  <c r="X22" i="14"/>
  <c r="Z22" i="14"/>
  <c r="AA22" i="14"/>
  <c r="Y22" i="14"/>
  <c r="X77" i="14"/>
  <c r="Z77" i="14"/>
  <c r="AA77" i="14"/>
  <c r="Y77" i="14"/>
  <c r="X70" i="14"/>
  <c r="Z70" i="14"/>
  <c r="AA70" i="14"/>
  <c r="Y70" i="14"/>
  <c r="X43" i="14"/>
  <c r="Z43" i="14"/>
  <c r="AA43" i="14"/>
  <c r="Y43" i="14"/>
  <c r="X80" i="14"/>
  <c r="Z80" i="14"/>
  <c r="AA80" i="14"/>
  <c r="Y80" i="14"/>
  <c r="X50" i="14"/>
  <c r="Z50" i="14"/>
  <c r="AA50" i="14"/>
  <c r="Y50" i="14"/>
  <c r="X108" i="14"/>
  <c r="Z108" i="14"/>
  <c r="AA108" i="14"/>
  <c r="Y108" i="14"/>
  <c r="X17" i="14"/>
  <c r="Z17" i="14"/>
  <c r="AA17" i="14"/>
  <c r="Y17" i="14"/>
  <c r="X39" i="14"/>
  <c r="Z39" i="14"/>
  <c r="AA39" i="14"/>
  <c r="Y39" i="14"/>
  <c r="X89" i="14"/>
  <c r="Z89" i="14"/>
  <c r="AA89" i="14"/>
  <c r="Y89" i="14"/>
  <c r="X35" i="14"/>
  <c r="Z35" i="14"/>
  <c r="AA35" i="14"/>
  <c r="Y35" i="14"/>
  <c r="X86" i="14"/>
  <c r="Z86" i="14"/>
  <c r="AA86" i="14"/>
  <c r="Y86" i="14"/>
  <c r="X29" i="14"/>
  <c r="Z29" i="14"/>
  <c r="AA29" i="14"/>
  <c r="Y29" i="14"/>
  <c r="X78" i="14"/>
  <c r="Z78" i="14"/>
  <c r="AA78" i="14"/>
  <c r="Y78" i="14"/>
  <c r="X38" i="14"/>
  <c r="Z38" i="14"/>
  <c r="AA38" i="14"/>
  <c r="Y38" i="14"/>
  <c r="X94" i="14"/>
  <c r="Z94" i="14"/>
  <c r="AA94" i="14"/>
  <c r="Y94" i="14"/>
  <c r="X56" i="14"/>
  <c r="Z56" i="14"/>
  <c r="AA56" i="14"/>
  <c r="Y56" i="14"/>
  <c r="X110" i="14"/>
  <c r="Z110" i="14"/>
  <c r="AA110" i="14"/>
  <c r="Y110" i="14"/>
  <c r="X28" i="14"/>
  <c r="Z28" i="14"/>
  <c r="AA28" i="14"/>
  <c r="Y28" i="14"/>
  <c r="X27" i="14"/>
  <c r="Z27" i="14"/>
  <c r="AA27" i="14"/>
  <c r="Y27" i="14"/>
  <c r="X60" i="14"/>
  <c r="Z60" i="14"/>
  <c r="AA60" i="14"/>
  <c r="Y60" i="14"/>
  <c r="X109" i="14"/>
  <c r="Z109" i="14"/>
  <c r="AA109" i="14"/>
  <c r="Y109" i="14"/>
  <c r="X59" i="14"/>
  <c r="Z59" i="14"/>
  <c r="AA59" i="14"/>
  <c r="Y59" i="14"/>
  <c r="X76" i="14"/>
  <c r="Z76" i="14"/>
  <c r="AA76" i="14"/>
  <c r="Y76" i="14"/>
  <c r="X91" i="14"/>
  <c r="Z91" i="14"/>
  <c r="AA91" i="14"/>
  <c r="Y91" i="14"/>
  <c r="X98" i="14"/>
  <c r="Z98" i="14"/>
  <c r="AA98" i="14"/>
  <c r="Y98" i="14"/>
  <c r="X19" i="14"/>
  <c r="Z19" i="14"/>
  <c r="AA19" i="14"/>
  <c r="Y19" i="14"/>
  <c r="X12" i="14"/>
  <c r="Z12" i="14"/>
  <c r="AA12" i="14"/>
  <c r="Y12" i="14"/>
  <c r="X15" i="14"/>
  <c r="Z15" i="14"/>
  <c r="AA15" i="14"/>
  <c r="Y15" i="14"/>
  <c r="X87" i="14"/>
  <c r="Z87" i="14"/>
  <c r="AA87" i="14"/>
  <c r="Y87" i="14"/>
  <c r="X31" i="14"/>
  <c r="Z31" i="14"/>
  <c r="AA31" i="14"/>
  <c r="Y31" i="14"/>
  <c r="X103" i="14"/>
  <c r="Z103" i="14"/>
  <c r="AA103" i="14"/>
  <c r="Y103" i="14"/>
  <c r="X47" i="14"/>
  <c r="Z47" i="14"/>
  <c r="AA47" i="14"/>
  <c r="Y47" i="14"/>
  <c r="X63" i="14"/>
  <c r="Z63" i="14"/>
  <c r="AA63" i="14"/>
  <c r="Y63" i="14"/>
  <c r="X49" i="14"/>
  <c r="Z49" i="14"/>
  <c r="AA49" i="14"/>
  <c r="Y49" i="14"/>
  <c r="X79" i="14"/>
  <c r="Z79" i="14"/>
  <c r="AA79" i="14"/>
  <c r="Y79" i="14"/>
  <c r="X82" i="14"/>
  <c r="Z82" i="14"/>
  <c r="AA82" i="14"/>
  <c r="Y82" i="14"/>
  <c r="X26" i="14"/>
  <c r="Z26" i="14"/>
  <c r="AA26" i="14"/>
  <c r="Y26" i="14"/>
  <c r="X75" i="14"/>
  <c r="Z75" i="14"/>
  <c r="AA75" i="14"/>
  <c r="Y75" i="14"/>
  <c r="X95" i="14"/>
  <c r="Z95" i="14"/>
  <c r="AA95" i="14"/>
  <c r="Y95" i="14"/>
  <c r="X67" i="14"/>
  <c r="Z67" i="14"/>
  <c r="AA67" i="14"/>
  <c r="Y67" i="14"/>
  <c r="X42" i="14"/>
  <c r="Z42" i="14"/>
  <c r="AA42" i="14"/>
  <c r="Y42" i="14"/>
  <c r="X32" i="14"/>
  <c r="Z32" i="14"/>
  <c r="AA32" i="14"/>
  <c r="Y32" i="14"/>
  <c r="X68" i="14"/>
  <c r="Z68" i="14"/>
  <c r="AA68" i="14"/>
  <c r="Y68" i="14"/>
  <c r="X58" i="14"/>
  <c r="Z58" i="14"/>
  <c r="AA58" i="14"/>
  <c r="Y58" i="14"/>
  <c r="X81" i="14"/>
  <c r="Z81" i="14"/>
  <c r="AA81" i="14"/>
  <c r="Y81" i="14"/>
  <c r="X52" i="14"/>
  <c r="Z52" i="14"/>
  <c r="AA52" i="14"/>
  <c r="Y52" i="14"/>
  <c r="X66" i="14"/>
  <c r="Z66" i="14"/>
  <c r="AA66" i="14"/>
  <c r="Y66" i="14"/>
  <c r="X69" i="14"/>
  <c r="Z69" i="14"/>
  <c r="AA69" i="14"/>
  <c r="Y69" i="14"/>
  <c r="X74" i="14"/>
  <c r="Z74" i="14"/>
  <c r="AA74" i="14"/>
  <c r="Y74" i="14"/>
  <c r="X48" i="14"/>
  <c r="Z48" i="14"/>
  <c r="AA48" i="14"/>
  <c r="Y48" i="14"/>
  <c r="X18" i="14"/>
  <c r="Z18" i="14"/>
  <c r="AA18" i="14"/>
  <c r="Y18" i="14"/>
  <c r="X101" i="14"/>
  <c r="Z101" i="14"/>
  <c r="AA101" i="14"/>
  <c r="Y101" i="14"/>
  <c r="X84" i="14"/>
  <c r="Z84" i="14"/>
  <c r="AA84" i="14"/>
  <c r="Y84" i="14"/>
  <c r="X72" i="14"/>
  <c r="Z72" i="14"/>
  <c r="AA72" i="14"/>
  <c r="Y72" i="14"/>
  <c r="X90" i="14"/>
  <c r="Z90" i="14"/>
  <c r="AA90" i="14"/>
  <c r="Y90" i="14"/>
  <c r="X33" i="14"/>
  <c r="Z33" i="14"/>
  <c r="AA33" i="14"/>
  <c r="Y33" i="14"/>
  <c r="X51" i="14"/>
  <c r="Z51" i="14"/>
  <c r="AA51" i="14"/>
  <c r="Y51" i="14"/>
  <c r="X24" i="14"/>
  <c r="Z24" i="14"/>
  <c r="AA24" i="14"/>
  <c r="Y24" i="14"/>
  <c r="X21" i="14"/>
  <c r="Z21" i="14"/>
  <c r="AA21" i="14"/>
  <c r="Y21" i="14"/>
  <c r="X25" i="14"/>
  <c r="Z25" i="14"/>
  <c r="AA25" i="14"/>
  <c r="Y25" i="14"/>
  <c r="X106" i="14"/>
  <c r="Z106" i="14"/>
  <c r="AA106" i="14"/>
  <c r="Y106" i="14"/>
  <c r="X97" i="14"/>
  <c r="Z97" i="14"/>
  <c r="AA97" i="14"/>
  <c r="Y97" i="14"/>
  <c r="X20" i="14"/>
  <c r="Z20" i="14"/>
  <c r="AA20" i="14"/>
  <c r="Y20" i="14"/>
  <c r="X14" i="14"/>
  <c r="Z14" i="14"/>
  <c r="AA14" i="14"/>
  <c r="Y14" i="14"/>
  <c r="X53" i="14"/>
  <c r="Z53" i="14"/>
  <c r="AA53" i="14"/>
  <c r="Y53" i="14"/>
  <c r="X41" i="14"/>
  <c r="Z41" i="14"/>
  <c r="AA41" i="14"/>
  <c r="Y41" i="14"/>
  <c r="X16" i="14"/>
  <c r="Z16" i="14"/>
  <c r="AA16" i="14"/>
  <c r="Y16" i="14"/>
  <c r="X99" i="14"/>
  <c r="Z99" i="14"/>
  <c r="AA99" i="14"/>
  <c r="Y99" i="14"/>
  <c r="X100" i="14"/>
  <c r="Z100" i="14"/>
  <c r="AA100" i="14"/>
  <c r="Y100" i="14"/>
  <c r="X30" i="14"/>
  <c r="Z30" i="14"/>
  <c r="AA30" i="14"/>
  <c r="Y30" i="14"/>
  <c r="X54" i="14"/>
  <c r="Z54" i="14"/>
  <c r="AA54" i="14"/>
  <c r="Y54" i="14"/>
  <c r="X57" i="14"/>
  <c r="Z57" i="14"/>
  <c r="AA57" i="14"/>
  <c r="Y57" i="14"/>
  <c r="X65" i="14"/>
  <c r="Z65" i="14"/>
  <c r="AA65" i="14"/>
  <c r="Y65" i="14"/>
  <c r="X36" i="14"/>
  <c r="Z36" i="14"/>
  <c r="AA36" i="14"/>
  <c r="Y36" i="14"/>
  <c r="X88" i="14"/>
  <c r="Z88" i="14"/>
  <c r="AA88" i="14"/>
  <c r="Y88" i="14"/>
  <c r="X46" i="14"/>
  <c r="Z46" i="14"/>
  <c r="AA46" i="14"/>
  <c r="Y46" i="14"/>
  <c r="X45" i="14"/>
  <c r="Z45" i="14"/>
  <c r="AA45" i="14"/>
  <c r="Y45" i="14"/>
  <c r="X71" i="14"/>
  <c r="Z71" i="14"/>
  <c r="AA71" i="14"/>
  <c r="Y71" i="14"/>
  <c r="X61" i="14"/>
  <c r="Z61" i="14"/>
  <c r="AA61" i="14"/>
  <c r="Y61" i="14"/>
  <c r="X11" i="14"/>
  <c r="Z11" i="14"/>
  <c r="AA11" i="14"/>
  <c r="Y11" i="14"/>
  <c r="X44" i="14"/>
  <c r="Z44" i="14"/>
  <c r="AA44" i="14"/>
  <c r="Y44" i="14"/>
  <c r="X102" i="14"/>
  <c r="Z102" i="14"/>
  <c r="AA102" i="14"/>
  <c r="Y102" i="14"/>
  <c r="X104" i="14"/>
  <c r="Z104" i="14"/>
  <c r="AA104" i="14"/>
  <c r="Y104" i="14"/>
  <c r="X92" i="14"/>
  <c r="Z92" i="14"/>
  <c r="AA92" i="14"/>
  <c r="Y92" i="14"/>
  <c r="X83" i="14"/>
  <c r="Z83" i="14"/>
  <c r="AA83" i="14"/>
  <c r="Y83" i="14"/>
  <c r="J25" i="7"/>
  <c r="M25" i="7" s="1"/>
  <c r="Z37" i="14" l="1"/>
  <c r="AA37" i="14"/>
  <c r="X37" i="14"/>
  <c r="Y37" i="14"/>
  <c r="Z40" i="14"/>
  <c r="AA40" i="14"/>
  <c r="Y40" i="14"/>
  <c r="X40" i="14"/>
  <c r="L25" i="7"/>
  <c r="J24" i="7"/>
  <c r="M24" i="7" s="1"/>
  <c r="L24" i="7" l="1"/>
  <c r="J23" i="7"/>
  <c r="M23" i="7" s="1"/>
  <c r="L23" i="7" l="1"/>
  <c r="J22" i="7"/>
  <c r="M22" i="7" s="1"/>
  <c r="L22" i="7" l="1"/>
  <c r="J21" i="7"/>
  <c r="M21" i="7" s="1"/>
  <c r="L21" i="7" l="1"/>
  <c r="J20" i="7"/>
  <c r="M20" i="7" s="1"/>
  <c r="L20" i="7" l="1"/>
  <c r="L19" i="7" l="1"/>
  <c r="J18" i="7"/>
  <c r="M18" i="7" s="1"/>
  <c r="L18" i="7" l="1"/>
  <c r="J17" i="7"/>
  <c r="M17" i="7" s="1"/>
  <c r="L17" i="7" l="1"/>
  <c r="J16" i="7"/>
  <c r="M16" i="7" s="1"/>
  <c r="L16" i="7" l="1"/>
  <c r="J15" i="7"/>
  <c r="M15" i="7" s="1"/>
  <c r="L15" i="7" l="1"/>
  <c r="J14" i="7"/>
  <c r="M14" i="7" s="1"/>
  <c r="L14" i="7" l="1"/>
  <c r="J13" i="7"/>
  <c r="M13" i="7" s="1"/>
  <c r="L13" i="7" l="1"/>
  <c r="J12" i="7"/>
  <c r="M12" i="7" s="1"/>
  <c r="L12" i="7" l="1"/>
  <c r="J11" i="7"/>
  <c r="M11" i="7" s="1"/>
  <c r="L11" i="7" l="1"/>
  <c r="V10" i="7"/>
  <c r="U10" i="7"/>
  <c r="T10" i="7"/>
  <c r="S10" i="7"/>
  <c r="R10" i="7"/>
  <c r="Q10" i="7"/>
  <c r="P10" i="7"/>
  <c r="N10" i="7"/>
  <c r="B10" i="7"/>
  <c r="R9" i="7"/>
  <c r="Q9" i="7"/>
  <c r="P9" i="7"/>
  <c r="Q25" i="7" l="1"/>
  <c r="Q24" i="7"/>
  <c r="Q23" i="7"/>
  <c r="Q22" i="7"/>
  <c r="Q21" i="7"/>
  <c r="Q20" i="7"/>
  <c r="Q19" i="7"/>
  <c r="Q18" i="7"/>
  <c r="Q17" i="7"/>
  <c r="Q16" i="7"/>
  <c r="Q15" i="7"/>
  <c r="Q14" i="7"/>
  <c r="Q13" i="7"/>
  <c r="Q12" i="7"/>
  <c r="Q11" i="7"/>
  <c r="Y28" i="6"/>
  <c r="X28" i="6"/>
  <c r="J28" i="6"/>
  <c r="M28" i="6" s="1"/>
  <c r="G28" i="6"/>
  <c r="L28" i="6" l="1"/>
  <c r="Y27" i="6"/>
  <c r="X27" i="6"/>
  <c r="J27" i="6"/>
  <c r="M27" i="6" s="1"/>
  <c r="G27" i="6"/>
  <c r="L27" i="6" l="1"/>
  <c r="J25" i="6"/>
  <c r="M25" i="6" s="1"/>
  <c r="L26" i="6" l="1"/>
  <c r="L25" i="6" l="1"/>
  <c r="J24" i="6"/>
  <c r="M24" i="6" s="1"/>
  <c r="J23" i="6"/>
  <c r="M23" i="6" s="1"/>
  <c r="L24" i="6" l="1"/>
  <c r="L23" i="6" l="1"/>
  <c r="J22" i="6"/>
  <c r="M22" i="6" s="1"/>
  <c r="J21" i="6"/>
  <c r="M21" i="6" s="1"/>
  <c r="L22" i="6" l="1"/>
  <c r="L21" i="6"/>
  <c r="J20" i="6"/>
  <c r="M20" i="6" s="1"/>
  <c r="L20" i="6" l="1"/>
  <c r="J19" i="6"/>
  <c r="M19" i="6" s="1"/>
  <c r="L19" i="6" l="1"/>
  <c r="J18" i="6"/>
  <c r="M18" i="6" s="1"/>
  <c r="L18" i="6" l="1"/>
  <c r="J17" i="6"/>
  <c r="M17" i="6" s="1"/>
  <c r="L17" i="6" l="1"/>
  <c r="J16" i="6"/>
  <c r="M16" i="6" s="1"/>
  <c r="L16" i="6" l="1"/>
  <c r="J15" i="6"/>
  <c r="M15" i="6" s="1"/>
  <c r="L15" i="6" l="1"/>
  <c r="J14" i="6"/>
  <c r="M14" i="6" s="1"/>
  <c r="L14" i="6" l="1"/>
  <c r="J13" i="6"/>
  <c r="M13" i="6" s="1"/>
  <c r="L13" i="6" l="1"/>
  <c r="J12" i="6"/>
  <c r="M12" i="6" s="1"/>
  <c r="L12" i="6" l="1"/>
  <c r="J11" i="6"/>
  <c r="M11" i="6" s="1"/>
  <c r="L11" i="6" l="1"/>
  <c r="W10" i="6"/>
  <c r="V10" i="6"/>
  <c r="U10" i="6"/>
  <c r="T10" i="6"/>
  <c r="R10" i="6"/>
  <c r="Q10" i="6"/>
  <c r="P10" i="6"/>
  <c r="N10" i="6"/>
  <c r="B10" i="6"/>
  <c r="R9" i="6"/>
  <c r="Q9" i="6"/>
  <c r="P9" i="6"/>
  <c r="V27" i="6"/>
  <c r="V28" i="6"/>
  <c r="W27" i="6"/>
  <c r="W28" i="6"/>
  <c r="T27" i="6"/>
  <c r="T28" i="6"/>
  <c r="N27" i="6"/>
  <c r="P27" i="6" s="1"/>
  <c r="S27" i="6"/>
  <c r="N28" i="6"/>
  <c r="P28" i="6" s="1"/>
  <c r="S28" i="6"/>
  <c r="U27" i="6"/>
  <c r="U28" i="6"/>
  <c r="Q28" i="6" l="1"/>
  <c r="Q27" i="6"/>
  <c r="Q26" i="6"/>
  <c r="Q25" i="6"/>
  <c r="Q24" i="6"/>
  <c r="Q23" i="6"/>
  <c r="Q22" i="6"/>
  <c r="Q21" i="6"/>
  <c r="Q20" i="6"/>
  <c r="Q19" i="6"/>
  <c r="Q18" i="6"/>
  <c r="Q17" i="6"/>
  <c r="Q16" i="6"/>
  <c r="Q15" i="6"/>
  <c r="Q14" i="6"/>
  <c r="Q13" i="6"/>
  <c r="Q12" i="6"/>
  <c r="Q11" i="6"/>
  <c r="AG13" i="5" l="1"/>
  <c r="AE13" i="5"/>
  <c r="N13" i="5"/>
  <c r="Q13" i="5" s="1"/>
  <c r="AF13" i="5"/>
  <c r="Y13" i="5" l="1"/>
  <c r="AM13" i="5" s="1"/>
  <c r="P13" i="5"/>
  <c r="G13" i="5"/>
  <c r="R13" i="5"/>
  <c r="AL12" i="5"/>
  <c r="AK12" i="5"/>
  <c r="AJ12" i="5"/>
  <c r="AG12" i="5" l="1"/>
  <c r="AE12" i="5"/>
  <c r="M12" i="5"/>
  <c r="K12" i="5"/>
  <c r="J12" i="5"/>
  <c r="I12" i="5"/>
  <c r="H12" i="5"/>
  <c r="E12" i="5"/>
  <c r="F12" i="5" s="1"/>
  <c r="D12" i="5"/>
  <c r="N12" i="5"/>
  <c r="Q12" i="5" s="1"/>
  <c r="AF12" i="5"/>
  <c r="Y12" i="5" l="1"/>
  <c r="AM12" i="5" s="1"/>
  <c r="P12" i="5"/>
  <c r="G12" i="5"/>
  <c r="R12" i="5"/>
  <c r="AG11" i="5" l="1"/>
  <c r="AE11" i="5"/>
  <c r="N11" i="5"/>
  <c r="Q11" i="5" s="1"/>
  <c r="P11" i="5" l="1"/>
  <c r="Y11" i="5"/>
  <c r="AM11" i="5" s="1"/>
  <c r="AC10" i="5"/>
  <c r="AB10" i="5"/>
  <c r="AA10" i="5"/>
  <c r="Z10" i="5"/>
  <c r="W10" i="5"/>
  <c r="V10" i="5"/>
  <c r="U10" i="5"/>
  <c r="S10" i="5"/>
  <c r="B10" i="5"/>
  <c r="W9" i="5"/>
  <c r="V9" i="5"/>
  <c r="U9" i="5"/>
  <c r="AC12" i="5"/>
  <c r="AC13" i="5"/>
  <c r="AB12" i="5"/>
  <c r="AB13" i="5"/>
  <c r="AA12" i="5"/>
  <c r="AA13" i="5"/>
  <c r="Z12" i="5"/>
  <c r="Z13" i="5"/>
  <c r="S12" i="5"/>
  <c r="U12" i="5" s="1"/>
  <c r="S13" i="5"/>
  <c r="U13" i="5" s="1"/>
  <c r="V13" i="5" l="1"/>
  <c r="X13" i="5" s="1"/>
  <c r="V12" i="5"/>
  <c r="X12" i="5" s="1"/>
  <c r="V11" i="5"/>
  <c r="X11" i="5" s="1"/>
  <c r="AE21" i="4"/>
  <c r="AD21" i="4"/>
  <c r="N21" i="4"/>
  <c r="Q21" i="4" s="1"/>
  <c r="K21" i="4"/>
  <c r="P21" i="4" l="1"/>
  <c r="AE20" i="4"/>
  <c r="AD20" i="4"/>
  <c r="G21" i="4"/>
  <c r="R21" i="4"/>
  <c r="N20" i="4"/>
  <c r="Q20" i="4" s="1"/>
  <c r="K20" i="4"/>
  <c r="P20" i="4" l="1"/>
  <c r="AE19" i="4"/>
  <c r="AD19" i="4"/>
  <c r="G20" i="4"/>
  <c r="R20" i="4"/>
  <c r="N19" i="4"/>
  <c r="Q19" i="4" s="1"/>
  <c r="K19" i="4"/>
  <c r="P19" i="4" l="1"/>
  <c r="AE18" i="4"/>
  <c r="AD18" i="4"/>
  <c r="G19" i="4"/>
  <c r="R19" i="4"/>
  <c r="N18" i="4"/>
  <c r="Q18" i="4" s="1"/>
  <c r="K18" i="4"/>
  <c r="P18" i="4" l="1"/>
  <c r="AE17" i="4"/>
  <c r="AD17" i="4"/>
  <c r="G18" i="4"/>
  <c r="R18" i="4"/>
  <c r="N17" i="4"/>
  <c r="Q17" i="4" s="1"/>
  <c r="K17" i="4"/>
  <c r="P17" i="4" l="1"/>
  <c r="G17" i="4"/>
  <c r="R17" i="4"/>
  <c r="N16" i="4"/>
  <c r="Q16" i="4" s="1"/>
  <c r="P16" i="4" l="1"/>
  <c r="G16" i="4"/>
  <c r="R16" i="4"/>
  <c r="N15" i="4"/>
  <c r="Q15" i="4" s="1"/>
  <c r="P15" i="4" l="1"/>
  <c r="N14" i="4"/>
  <c r="Q14" i="4" s="1"/>
  <c r="P14" i="4" l="1"/>
  <c r="N13" i="4"/>
  <c r="Q13" i="4" s="1"/>
  <c r="P13" i="4" l="1"/>
  <c r="N12" i="4"/>
  <c r="Q12" i="4" s="1"/>
  <c r="P12" i="4" l="1"/>
  <c r="D11" i="4"/>
  <c r="E11" i="4"/>
  <c r="F11" i="4" s="1"/>
  <c r="H11" i="4"/>
  <c r="I11" i="4"/>
  <c r="J11" i="4"/>
  <c r="K11" i="4"/>
  <c r="M11" i="4"/>
  <c r="P11" i="4" l="1"/>
  <c r="AC10" i="4"/>
  <c r="AB10" i="4"/>
  <c r="AA10" i="4"/>
  <c r="Z10" i="4"/>
  <c r="Y10" i="4"/>
  <c r="X10" i="4"/>
  <c r="W10" i="4"/>
  <c r="V10" i="4"/>
  <c r="U10" i="4"/>
  <c r="S10" i="4"/>
  <c r="B10" i="4"/>
  <c r="W9" i="4"/>
  <c r="V9" i="4"/>
  <c r="U9" i="4"/>
  <c r="AB16" i="4"/>
  <c r="AB17" i="4"/>
  <c r="AB18" i="4"/>
  <c r="AB19" i="4"/>
  <c r="AB20" i="4"/>
  <c r="AB21" i="4"/>
  <c r="Z16" i="4"/>
  <c r="Z17" i="4"/>
  <c r="Z18" i="4"/>
  <c r="Z19" i="4"/>
  <c r="Z20" i="4"/>
  <c r="Z21" i="4"/>
  <c r="X16" i="4"/>
  <c r="X17" i="4"/>
  <c r="X18" i="4"/>
  <c r="X19" i="4"/>
  <c r="X20" i="4"/>
  <c r="X21" i="4"/>
  <c r="AA16" i="4"/>
  <c r="AA17" i="4"/>
  <c r="AA18" i="4"/>
  <c r="AA19" i="4"/>
  <c r="AA20" i="4"/>
  <c r="AA21" i="4"/>
  <c r="Y16" i="4"/>
  <c r="Y17" i="4"/>
  <c r="Y18" i="4"/>
  <c r="Y19" i="4"/>
  <c r="Y20" i="4"/>
  <c r="Y21" i="4"/>
  <c r="S16" i="4"/>
  <c r="U16" i="4" s="1"/>
  <c r="S17" i="4"/>
  <c r="U17" i="4" s="1"/>
  <c r="S18" i="4"/>
  <c r="U18" i="4" s="1"/>
  <c r="S19" i="4"/>
  <c r="U19" i="4" s="1"/>
  <c r="S20" i="4"/>
  <c r="U20" i="4" s="1"/>
  <c r="S21" i="4"/>
  <c r="U21" i="4" s="1"/>
  <c r="AC16" i="4"/>
  <c r="AC17" i="4"/>
  <c r="AC18" i="4"/>
  <c r="AC19" i="4"/>
  <c r="AC20" i="4"/>
  <c r="AC21" i="4"/>
  <c r="V21" i="4" l="1"/>
  <c r="V20" i="4"/>
  <c r="V19" i="4"/>
  <c r="V18" i="4"/>
  <c r="V17" i="4"/>
  <c r="V16" i="4"/>
  <c r="V15" i="4"/>
  <c r="V14" i="4"/>
  <c r="V13" i="4"/>
  <c r="V12" i="4"/>
  <c r="V11" i="4"/>
  <c r="AO28" i="1"/>
  <c r="AN28" i="1"/>
  <c r="N28" i="1"/>
  <c r="Q28" i="1" s="1"/>
  <c r="AF28" i="1"/>
  <c r="K28" i="1"/>
  <c r="Y28" i="1" l="1"/>
  <c r="AM28" i="1" s="1"/>
  <c r="P28" i="1"/>
  <c r="AO27" i="1"/>
  <c r="AN27" i="1"/>
  <c r="G28" i="1"/>
  <c r="R28" i="1"/>
  <c r="N27" i="1"/>
  <c r="Q27" i="1" s="1"/>
  <c r="AF27" i="1"/>
  <c r="K27" i="1"/>
  <c r="Y27" i="1" l="1"/>
  <c r="AM27" i="1" s="1"/>
  <c r="P27" i="1"/>
  <c r="AO26" i="1"/>
  <c r="AN26" i="1"/>
  <c r="G27" i="1"/>
  <c r="R27" i="1"/>
  <c r="N26" i="1"/>
  <c r="Q26" i="1" s="1"/>
  <c r="AF26" i="1"/>
  <c r="K26" i="1"/>
  <c r="Y26" i="1" l="1"/>
  <c r="AM26" i="1" s="1"/>
  <c r="P26" i="1"/>
  <c r="G26" i="1"/>
  <c r="R26" i="1"/>
  <c r="N25" i="1"/>
  <c r="Q25" i="1" s="1"/>
  <c r="AF25" i="1"/>
  <c r="Y25" i="1" l="1"/>
  <c r="AM25" i="1" s="1"/>
  <c r="P25" i="1"/>
  <c r="G25" i="1"/>
  <c r="R25" i="1"/>
  <c r="N24" i="1"/>
  <c r="Q24" i="1" s="1"/>
  <c r="AF24" i="1"/>
  <c r="Y24" i="1" l="1"/>
  <c r="AM24" i="1" s="1"/>
  <c r="P24" i="1"/>
  <c r="G24" i="1"/>
  <c r="R24" i="1"/>
  <c r="N23" i="1"/>
  <c r="Q23" i="1" s="1"/>
  <c r="AF23" i="1"/>
  <c r="Y23" i="1" l="1"/>
  <c r="AM23" i="1" s="1"/>
  <c r="P23" i="1"/>
  <c r="N22" i="1"/>
  <c r="Q22" i="1" s="1"/>
  <c r="AF22" i="1"/>
  <c r="Y22" i="1" l="1"/>
  <c r="AM22" i="1" s="1"/>
  <c r="P22" i="1"/>
  <c r="N21" i="1"/>
  <c r="Q21" i="1" s="1"/>
  <c r="Y21" i="1" l="1"/>
  <c r="AM21" i="1" s="1"/>
  <c r="P21" i="1"/>
  <c r="N20" i="1"/>
  <c r="Q20" i="1" s="1"/>
  <c r="Y20" i="1" l="1"/>
  <c r="AM20" i="1" s="1"/>
  <c r="P20" i="1"/>
  <c r="N19" i="1"/>
  <c r="Q19" i="1" s="1"/>
  <c r="Y19" i="1" l="1"/>
  <c r="AM19" i="1" s="1"/>
  <c r="P19" i="1"/>
  <c r="N18" i="1"/>
  <c r="Q18" i="1" s="1"/>
  <c r="Y18" i="1" l="1"/>
  <c r="AM18" i="1" s="1"/>
  <c r="P18" i="1"/>
  <c r="N17" i="1"/>
  <c r="Q17" i="1" s="1"/>
  <c r="AF17" i="1"/>
  <c r="Y17" i="1" l="1"/>
  <c r="AM17" i="1" s="1"/>
  <c r="P17" i="1"/>
  <c r="N16" i="1"/>
  <c r="Q16" i="1" s="1"/>
  <c r="AF16" i="1"/>
  <c r="Y16" i="1" l="1"/>
  <c r="AM16" i="1" s="1"/>
  <c r="P16" i="1"/>
  <c r="N15" i="1"/>
  <c r="Q15" i="1" s="1"/>
  <c r="Y15" i="1" l="1"/>
  <c r="AM15" i="1" s="1"/>
  <c r="P15" i="1"/>
  <c r="N14" i="1"/>
  <c r="Q14" i="1" s="1"/>
  <c r="AF14" i="1"/>
  <c r="Y14" i="1" l="1"/>
  <c r="AM14" i="1" s="1"/>
  <c r="P14" i="1"/>
  <c r="N13" i="1"/>
  <c r="Q13" i="1" s="1"/>
  <c r="AF13" i="1"/>
  <c r="Y13" i="1" l="1"/>
  <c r="AM13" i="1" s="1"/>
  <c r="P13" i="1"/>
  <c r="N12" i="1"/>
  <c r="Q12" i="1" s="1"/>
  <c r="AF12" i="1"/>
  <c r="Y12" i="1" l="1"/>
  <c r="AM12" i="1" s="1"/>
  <c r="P12" i="1"/>
  <c r="N11" i="1"/>
  <c r="Q11" i="1" s="1"/>
  <c r="AF11" i="1"/>
  <c r="P11" i="1" l="1"/>
  <c r="Y11" i="1"/>
  <c r="AM11" i="1" s="1"/>
  <c r="AC10" i="1"/>
  <c r="AB10" i="1"/>
  <c r="AA10" i="1"/>
  <c r="Z10" i="1"/>
  <c r="W10" i="1"/>
  <c r="V10" i="1"/>
  <c r="U10" i="1"/>
  <c r="S10" i="1"/>
  <c r="B10" i="1"/>
  <c r="W9" i="1"/>
  <c r="V9" i="1"/>
  <c r="U9" i="1"/>
  <c r="AC24" i="1"/>
  <c r="AC25" i="1"/>
  <c r="AC26" i="1"/>
  <c r="AC27" i="1"/>
  <c r="AC28" i="1"/>
  <c r="AA24" i="1"/>
  <c r="AA25" i="1"/>
  <c r="AA26" i="1"/>
  <c r="AA27" i="1"/>
  <c r="AA28" i="1"/>
  <c r="S24" i="1"/>
  <c r="S25" i="1"/>
  <c r="S26" i="1"/>
  <c r="S27" i="1"/>
  <c r="S28" i="1"/>
  <c r="Z24" i="1"/>
  <c r="Z25" i="1"/>
  <c r="Z26" i="1"/>
  <c r="Z27" i="1"/>
  <c r="Z28" i="1"/>
  <c r="AB24" i="1"/>
  <c r="AB25" i="1"/>
  <c r="AB26" i="1"/>
  <c r="AB27" i="1"/>
  <c r="AB28" i="1"/>
  <c r="U24" i="1"/>
  <c r="U25" i="1"/>
  <c r="U26" i="1"/>
  <c r="U27" i="1"/>
  <c r="U28" i="1"/>
  <c r="V28" i="1" l="1"/>
  <c r="X28" i="1" s="1"/>
  <c r="V27" i="1"/>
  <c r="X27" i="1" s="1"/>
  <c r="V26" i="1"/>
  <c r="X26" i="1" s="1"/>
  <c r="V25" i="1"/>
  <c r="X25" i="1" s="1"/>
  <c r="V24" i="1"/>
  <c r="X24" i="1" s="1"/>
  <c r="V23" i="1"/>
  <c r="X23" i="1" s="1"/>
  <c r="V22" i="1"/>
  <c r="X22" i="1" s="1"/>
  <c r="V21" i="1"/>
  <c r="X21" i="1" s="1"/>
  <c r="V20" i="1"/>
  <c r="X20" i="1" s="1"/>
  <c r="V19" i="1"/>
  <c r="X19" i="1" s="1"/>
  <c r="V18" i="1"/>
  <c r="X18" i="1" s="1"/>
  <c r="V17" i="1"/>
  <c r="X17" i="1" s="1"/>
  <c r="V16" i="1"/>
  <c r="X16" i="1" s="1"/>
  <c r="V15" i="1"/>
  <c r="X15" i="1" s="1"/>
  <c r="V14" i="1"/>
  <c r="X14" i="1" s="1"/>
  <c r="V13" i="1"/>
  <c r="X13" i="1" s="1"/>
  <c r="V12" i="1"/>
  <c r="X12" i="1" s="1"/>
  <c r="V11" i="1"/>
  <c r="X11" i="1" s="1"/>
  <c r="Q211" i="12"/>
  <c r="Q210" i="12"/>
  <c r="Q209" i="12"/>
  <c r="Q208" i="12"/>
  <c r="Q207" i="12"/>
  <c r="Q206" i="12"/>
  <c r="Q205" i="12"/>
  <c r="Q204" i="12"/>
  <c r="Q203" i="12"/>
  <c r="Q202" i="12"/>
  <c r="Q201" i="12"/>
  <c r="Q200" i="12"/>
  <c r="Q199" i="12"/>
  <c r="Q198" i="12"/>
  <c r="Q197" i="12"/>
  <c r="Q196" i="12"/>
  <c r="Q195" i="12"/>
  <c r="Q194" i="12"/>
  <c r="Q193" i="12"/>
  <c r="Q192" i="12"/>
  <c r="Q191" i="12"/>
  <c r="Q190" i="12"/>
  <c r="Q189" i="12"/>
  <c r="Q188" i="12"/>
  <c r="Q187" i="12"/>
  <c r="Q186" i="12"/>
  <c r="Q185" i="12"/>
  <c r="Q184" i="12"/>
  <c r="Q183" i="12"/>
  <c r="Q182" i="12"/>
  <c r="Q181" i="12"/>
  <c r="Q180" i="12"/>
  <c r="Q179" i="12"/>
  <c r="Q178" i="12"/>
  <c r="Q177" i="12"/>
  <c r="Q176" i="12"/>
  <c r="Q175" i="12"/>
  <c r="Q174" i="12"/>
  <c r="Q173" i="12"/>
  <c r="Q172" i="12"/>
  <c r="Q171" i="12"/>
  <c r="Q170" i="12"/>
  <c r="Q169" i="12"/>
  <c r="Q168" i="12"/>
  <c r="Q167" i="12"/>
  <c r="Q166" i="12"/>
  <c r="Q165" i="12"/>
  <c r="Q164" i="12"/>
  <c r="Q163" i="12"/>
  <c r="Q162" i="12"/>
  <c r="Q161" i="12"/>
  <c r="Q160" i="12"/>
  <c r="Q159" i="12"/>
  <c r="Q158" i="12"/>
  <c r="Q157" i="12"/>
  <c r="Q156" i="12"/>
  <c r="Q155" i="12"/>
  <c r="Q154" i="12"/>
  <c r="Q153" i="12"/>
  <c r="Q152" i="12"/>
  <c r="Q151" i="12"/>
  <c r="Q150" i="12"/>
  <c r="Q149" i="12"/>
  <c r="Q148" i="12"/>
  <c r="Q147" i="12"/>
  <c r="Q146" i="12"/>
  <c r="Q145" i="12"/>
  <c r="Q144" i="12"/>
  <c r="Q143" i="12"/>
  <c r="Q142" i="12"/>
  <c r="Q141" i="12"/>
  <c r="Q140" i="12"/>
  <c r="Q139" i="12"/>
  <c r="Q138" i="12"/>
  <c r="Q137" i="12"/>
  <c r="Q136" i="12"/>
  <c r="Q135" i="12"/>
  <c r="Q134" i="12"/>
  <c r="Q133" i="12"/>
  <c r="Q132" i="12"/>
  <c r="Q131" i="12"/>
  <c r="Q130" i="12"/>
  <c r="Q129" i="12"/>
  <c r="Q128" i="12"/>
  <c r="Q127" i="12"/>
  <c r="Q126" i="12"/>
  <c r="Q125" i="12"/>
  <c r="Q124" i="12"/>
  <c r="Q123" i="12"/>
  <c r="Q122" i="12"/>
  <c r="Q121" i="12"/>
  <c r="Q120" i="12"/>
  <c r="Q119" i="12"/>
  <c r="Q118" i="12"/>
  <c r="Q117" i="12"/>
  <c r="Q116" i="12"/>
  <c r="Q115" i="12"/>
  <c r="Q114" i="12"/>
  <c r="Q113" i="12"/>
  <c r="Q112" i="12"/>
  <c r="Q111" i="12"/>
  <c r="Q110" i="12"/>
  <c r="Q109" i="12"/>
  <c r="Q108" i="12"/>
  <c r="Q107" i="12"/>
  <c r="Q106" i="12"/>
  <c r="Q105" i="12"/>
  <c r="Q104" i="12"/>
  <c r="Q103" i="12"/>
  <c r="Q102" i="12"/>
  <c r="Q101" i="12"/>
  <c r="Q100" i="12"/>
  <c r="Q99" i="12"/>
  <c r="Q98" i="12"/>
  <c r="Q97" i="12"/>
  <c r="Q96" i="12"/>
  <c r="Q95" i="12"/>
  <c r="Q94" i="12"/>
  <c r="Q93" i="12"/>
  <c r="Q92" i="12"/>
  <c r="Q91" i="12"/>
  <c r="Q90" i="12"/>
  <c r="Q89" i="12"/>
  <c r="Q88" i="12"/>
  <c r="Q87" i="12"/>
  <c r="Q86" i="12"/>
  <c r="Q85" i="12"/>
  <c r="Q84" i="12"/>
  <c r="Q83" i="12"/>
  <c r="Q82" i="12"/>
  <c r="Q81" i="12"/>
  <c r="Q80" i="12"/>
  <c r="Q79" i="12"/>
  <c r="Q78" i="12"/>
  <c r="Q77" i="12"/>
  <c r="Q76" i="12"/>
  <c r="Q75" i="12"/>
  <c r="Q74" i="12"/>
  <c r="Q73" i="12"/>
  <c r="Q72" i="12"/>
  <c r="Q71" i="12"/>
  <c r="Q70" i="12"/>
  <c r="Q69" i="12"/>
  <c r="Q68" i="12"/>
  <c r="Q67" i="12"/>
  <c r="Q66" i="12"/>
  <c r="R12" i="12" a="1"/>
  <c r="R296" i="12" l="1"/>
  <c r="R280" i="12"/>
  <c r="R264" i="12"/>
  <c r="R248" i="12"/>
  <c r="S248" i="12" s="1"/>
  <c r="R232" i="12"/>
  <c r="S232" i="12" s="1"/>
  <c r="R216" i="12"/>
  <c r="S216" i="12" s="1"/>
  <c r="R200" i="12"/>
  <c r="S200" i="12" s="1"/>
  <c r="R184" i="12"/>
  <c r="S184" i="12" s="1"/>
  <c r="R168" i="12"/>
  <c r="S168" i="12" s="1"/>
  <c r="R152" i="12"/>
  <c r="S152" i="12" s="1"/>
  <c r="R136" i="12"/>
  <c r="S136" i="12" s="1"/>
  <c r="R120" i="12"/>
  <c r="S120" i="12" s="1"/>
  <c r="R104" i="12"/>
  <c r="S104" i="12" s="1"/>
  <c r="R88" i="12"/>
  <c r="S88" i="12" s="1"/>
  <c r="R72" i="12"/>
  <c r="S72" i="12" s="1"/>
  <c r="R56" i="12"/>
  <c r="S56" i="12" s="1"/>
  <c r="R40" i="12"/>
  <c r="S40" i="12" s="1"/>
  <c r="R24" i="12"/>
  <c r="S24" i="12" s="1"/>
  <c r="R311" i="12"/>
  <c r="R279" i="12"/>
  <c r="R263" i="12"/>
  <c r="R247" i="12"/>
  <c r="S247" i="12" s="1"/>
  <c r="R231" i="12"/>
  <c r="S231" i="12" s="1"/>
  <c r="R215" i="12"/>
  <c r="S215" i="12" s="1"/>
  <c r="R199" i="12"/>
  <c r="S199" i="12" s="1"/>
  <c r="R183" i="12"/>
  <c r="S183" i="12" s="1"/>
  <c r="R167" i="12"/>
  <c r="S167" i="12" s="1"/>
  <c r="R135" i="12"/>
  <c r="S135" i="12" s="1"/>
  <c r="R119" i="12"/>
  <c r="S119" i="12" s="1"/>
  <c r="R103" i="12"/>
  <c r="S103" i="12" s="1"/>
  <c r="R87" i="12"/>
  <c r="S87" i="12" s="1"/>
  <c r="R71" i="12"/>
  <c r="S71" i="12" s="1"/>
  <c r="R55" i="12"/>
  <c r="S55" i="12" s="1"/>
  <c r="R39" i="12"/>
  <c r="S39" i="12" s="1"/>
  <c r="R23" i="12"/>
  <c r="S23" i="12" s="1"/>
  <c r="R294" i="12"/>
  <c r="R246" i="12"/>
  <c r="S246" i="12" s="1"/>
  <c r="R230" i="12"/>
  <c r="S230" i="12" s="1"/>
  <c r="R214" i="12"/>
  <c r="S214" i="12" s="1"/>
  <c r="R182" i="12"/>
  <c r="S182" i="12" s="1"/>
  <c r="R150" i="12"/>
  <c r="S150" i="12" s="1"/>
  <c r="R134" i="12"/>
  <c r="S134" i="12" s="1"/>
  <c r="R102" i="12"/>
  <c r="S102" i="12" s="1"/>
  <c r="R70" i="12"/>
  <c r="S70" i="12" s="1"/>
  <c r="R54" i="12"/>
  <c r="S54" i="12" s="1"/>
  <c r="R149" i="12"/>
  <c r="S149" i="12" s="1"/>
  <c r="R85" i="12"/>
  <c r="S85" i="12" s="1"/>
  <c r="R69" i="12"/>
  <c r="S69" i="12" s="1"/>
  <c r="R53" i="12"/>
  <c r="S53" i="12" s="1"/>
  <c r="R148" i="12"/>
  <c r="S148" i="12" s="1"/>
  <c r="R100" i="12"/>
  <c r="S100" i="12" s="1"/>
  <c r="R68" i="12"/>
  <c r="S68" i="12" s="1"/>
  <c r="R52" i="12"/>
  <c r="S52" i="12" s="1"/>
  <c r="R36" i="12"/>
  <c r="S36" i="12" s="1"/>
  <c r="R99" i="12"/>
  <c r="S99" i="12" s="1"/>
  <c r="R51" i="12"/>
  <c r="S51" i="12" s="1"/>
  <c r="R19" i="12"/>
  <c r="S19" i="12" s="1"/>
  <c r="R146" i="12"/>
  <c r="S146" i="12" s="1"/>
  <c r="R82" i="12"/>
  <c r="S82" i="12" s="1"/>
  <c r="R34" i="12"/>
  <c r="S34" i="12" s="1"/>
  <c r="R145" i="12"/>
  <c r="S145" i="12" s="1"/>
  <c r="R81" i="12"/>
  <c r="S81" i="12" s="1"/>
  <c r="R128" i="12"/>
  <c r="S128" i="12" s="1"/>
  <c r="R64" i="12"/>
  <c r="S64" i="12" s="1"/>
  <c r="R191" i="12"/>
  <c r="S191" i="12" s="1"/>
  <c r="R79" i="12"/>
  <c r="S79" i="12" s="1"/>
  <c r="R15" i="12"/>
  <c r="S15" i="12" s="1"/>
  <c r="R302" i="12"/>
  <c r="R126" i="12"/>
  <c r="S126" i="12" s="1"/>
  <c r="R269" i="12"/>
  <c r="R141" i="12"/>
  <c r="S141" i="12" s="1"/>
  <c r="R300" i="12"/>
  <c r="R172" i="12"/>
  <c r="S172" i="12" s="1"/>
  <c r="R28" i="12"/>
  <c r="S28" i="12" s="1"/>
  <c r="R283" i="12"/>
  <c r="R155" i="12"/>
  <c r="S155" i="12" s="1"/>
  <c r="R27" i="12"/>
  <c r="S27" i="12" s="1"/>
  <c r="R266" i="12"/>
  <c r="R154" i="12"/>
  <c r="S154" i="12" s="1"/>
  <c r="R42" i="12"/>
  <c r="S42" i="12" s="1"/>
  <c r="R295" i="12"/>
  <c r="R151" i="12"/>
  <c r="S151" i="12" s="1"/>
  <c r="R278" i="12"/>
  <c r="R166" i="12"/>
  <c r="S166" i="12" s="1"/>
  <c r="R86" i="12"/>
  <c r="S86" i="12" s="1"/>
  <c r="R38" i="12"/>
  <c r="S38" i="12" s="1"/>
  <c r="R165" i="12"/>
  <c r="S165" i="12" s="1"/>
  <c r="R101" i="12"/>
  <c r="S101" i="12" s="1"/>
  <c r="R21" i="12"/>
  <c r="S21" i="12" s="1"/>
  <c r="R84" i="12"/>
  <c r="S84" i="12" s="1"/>
  <c r="R115" i="12"/>
  <c r="S115" i="12" s="1"/>
  <c r="R67" i="12"/>
  <c r="S67" i="12" s="1"/>
  <c r="R130" i="12"/>
  <c r="S130" i="12" s="1"/>
  <c r="R161" i="12"/>
  <c r="S161" i="12" s="1"/>
  <c r="R17" i="12"/>
  <c r="S17" i="12" s="1"/>
  <c r="R32" i="12"/>
  <c r="S32" i="12" s="1"/>
  <c r="R111" i="12"/>
  <c r="S111" i="12" s="1"/>
  <c r="R222" i="12"/>
  <c r="S222" i="12" s="1"/>
  <c r="R110" i="12"/>
  <c r="S110" i="12" s="1"/>
  <c r="R221" i="12"/>
  <c r="S221" i="12" s="1"/>
  <c r="R109" i="12"/>
  <c r="S109" i="12" s="1"/>
  <c r="R236" i="12"/>
  <c r="S236" i="12" s="1"/>
  <c r="R12" i="12"/>
  <c r="S12" i="12" s="1"/>
  <c r="R107" i="12"/>
  <c r="S107" i="12" s="1"/>
  <c r="R106" i="12"/>
  <c r="S106" i="12" s="1"/>
  <c r="R310" i="12"/>
  <c r="R262" i="12"/>
  <c r="R198" i="12"/>
  <c r="S198" i="12" s="1"/>
  <c r="R118" i="12"/>
  <c r="S118" i="12" s="1"/>
  <c r="R22" i="12"/>
  <c r="S22" i="12" s="1"/>
  <c r="R117" i="12"/>
  <c r="S117" i="12" s="1"/>
  <c r="R37" i="12"/>
  <c r="S37" i="12" s="1"/>
  <c r="R132" i="12"/>
  <c r="S132" i="12" s="1"/>
  <c r="R35" i="12"/>
  <c r="S35" i="12" s="1"/>
  <c r="R178" i="12"/>
  <c r="S178" i="12" s="1"/>
  <c r="R50" i="12"/>
  <c r="S50" i="12" s="1"/>
  <c r="R33" i="12"/>
  <c r="S33" i="12" s="1"/>
  <c r="R207" i="12"/>
  <c r="S207" i="12" s="1"/>
  <c r="R31" i="12"/>
  <c r="S31" i="12" s="1"/>
  <c r="R206" i="12"/>
  <c r="S206" i="12" s="1"/>
  <c r="R94" i="12"/>
  <c r="S94" i="12" s="1"/>
  <c r="R253" i="12"/>
  <c r="S253" i="12" s="1"/>
  <c r="R93" i="12"/>
  <c r="S93" i="12" s="1"/>
  <c r="R124" i="12"/>
  <c r="S124" i="12" s="1"/>
  <c r="R187" i="12"/>
  <c r="S187" i="12" s="1"/>
  <c r="R282" i="12"/>
  <c r="R138" i="12"/>
  <c r="S138" i="12" s="1"/>
  <c r="R309" i="12"/>
  <c r="R293" i="12"/>
  <c r="R277" i="12"/>
  <c r="R261" i="12"/>
  <c r="R245" i="12"/>
  <c r="S245" i="12" s="1"/>
  <c r="R229" i="12"/>
  <c r="S229" i="12" s="1"/>
  <c r="R213" i="12"/>
  <c r="S213" i="12" s="1"/>
  <c r="R197" i="12"/>
  <c r="S197" i="12" s="1"/>
  <c r="R181" i="12"/>
  <c r="S181" i="12" s="1"/>
  <c r="R133" i="12"/>
  <c r="S133" i="12" s="1"/>
  <c r="R20" i="12"/>
  <c r="S20" i="12" s="1"/>
  <c r="R210" i="12"/>
  <c r="S210" i="12" s="1"/>
  <c r="R114" i="12"/>
  <c r="S114" i="12" s="1"/>
  <c r="R129" i="12"/>
  <c r="S129" i="12" s="1"/>
  <c r="R16" i="12"/>
  <c r="S16" i="12" s="1"/>
  <c r="R127" i="12"/>
  <c r="S127" i="12" s="1"/>
  <c r="R158" i="12"/>
  <c r="S158" i="12" s="1"/>
  <c r="R30" i="12"/>
  <c r="S30" i="12" s="1"/>
  <c r="R205" i="12"/>
  <c r="S205" i="12" s="1"/>
  <c r="R29" i="12"/>
  <c r="S29" i="12" s="1"/>
  <c r="R220" i="12"/>
  <c r="S220" i="12" s="1"/>
  <c r="R60" i="12"/>
  <c r="S60" i="12" s="1"/>
  <c r="R171" i="12"/>
  <c r="S171" i="12" s="1"/>
  <c r="R218" i="12"/>
  <c r="S218" i="12" s="1"/>
  <c r="R74" i="12"/>
  <c r="S74" i="12" s="1"/>
  <c r="R308" i="12"/>
  <c r="R292" i="12"/>
  <c r="R276" i="12"/>
  <c r="R260" i="12"/>
  <c r="R244" i="12"/>
  <c r="S244" i="12" s="1"/>
  <c r="R228" i="12"/>
  <c r="S228" i="12" s="1"/>
  <c r="R212" i="12"/>
  <c r="S212" i="12" s="1"/>
  <c r="R196" i="12"/>
  <c r="S196" i="12" s="1"/>
  <c r="R180" i="12"/>
  <c r="S180" i="12" s="1"/>
  <c r="R164" i="12"/>
  <c r="S164" i="12" s="1"/>
  <c r="R116" i="12"/>
  <c r="S116" i="12" s="1"/>
  <c r="R194" i="12"/>
  <c r="S194" i="12" s="1"/>
  <c r="R66" i="12"/>
  <c r="S66" i="12" s="1"/>
  <c r="R49" i="12"/>
  <c r="S49" i="12" s="1"/>
  <c r="R96" i="12"/>
  <c r="S96" i="12" s="1"/>
  <c r="R143" i="12"/>
  <c r="S143" i="12" s="1"/>
  <c r="R286" i="12"/>
  <c r="R62" i="12"/>
  <c r="S62" i="12" s="1"/>
  <c r="R189" i="12"/>
  <c r="S189" i="12" s="1"/>
  <c r="R45" i="12"/>
  <c r="S45" i="12" s="1"/>
  <c r="R156" i="12"/>
  <c r="S156" i="12" s="1"/>
  <c r="R139" i="12"/>
  <c r="S139" i="12" s="1"/>
  <c r="R58" i="12"/>
  <c r="S58" i="12" s="1"/>
  <c r="R307" i="12"/>
  <c r="R291" i="12"/>
  <c r="R275" i="12"/>
  <c r="R259" i="12"/>
  <c r="R243" i="12"/>
  <c r="S243" i="12" s="1"/>
  <c r="R227" i="12"/>
  <c r="S227" i="12" s="1"/>
  <c r="R211" i="12"/>
  <c r="S211" i="12" s="1"/>
  <c r="R195" i="12"/>
  <c r="S195" i="12" s="1"/>
  <c r="R179" i="12"/>
  <c r="S179" i="12" s="1"/>
  <c r="R163" i="12"/>
  <c r="S163" i="12" s="1"/>
  <c r="R147" i="12"/>
  <c r="S147" i="12" s="1"/>
  <c r="R131" i="12"/>
  <c r="S131" i="12" s="1"/>
  <c r="R83" i="12"/>
  <c r="S83" i="12" s="1"/>
  <c r="R98" i="12"/>
  <c r="S98" i="12" s="1"/>
  <c r="R113" i="12"/>
  <c r="S113" i="12" s="1"/>
  <c r="R48" i="12"/>
  <c r="S48" i="12" s="1"/>
  <c r="R175" i="12"/>
  <c r="S175" i="12" s="1"/>
  <c r="R270" i="12"/>
  <c r="R142" i="12"/>
  <c r="S142" i="12" s="1"/>
  <c r="R285" i="12"/>
  <c r="R252" i="12"/>
  <c r="S252" i="12" s="1"/>
  <c r="R92" i="12"/>
  <c r="S92" i="12" s="1"/>
  <c r="R219" i="12"/>
  <c r="S219" i="12" s="1"/>
  <c r="R43" i="12"/>
  <c r="S43" i="12" s="1"/>
  <c r="R170" i="12"/>
  <c r="S170" i="12" s="1"/>
  <c r="R306" i="12"/>
  <c r="R290" i="12"/>
  <c r="R274" i="12"/>
  <c r="R258" i="12"/>
  <c r="S258" i="12" s="1"/>
  <c r="R242" i="12"/>
  <c r="S242" i="12" s="1"/>
  <c r="R226" i="12"/>
  <c r="S226" i="12" s="1"/>
  <c r="R162" i="12"/>
  <c r="S162" i="12" s="1"/>
  <c r="R18" i="12"/>
  <c r="S18" i="12" s="1"/>
  <c r="R65" i="12"/>
  <c r="S65" i="12" s="1"/>
  <c r="R80" i="12"/>
  <c r="S80" i="12" s="1"/>
  <c r="R95" i="12"/>
  <c r="S95" i="12" s="1"/>
  <c r="R238" i="12"/>
  <c r="S238" i="12" s="1"/>
  <c r="R46" i="12"/>
  <c r="S46" i="12" s="1"/>
  <c r="R125" i="12"/>
  <c r="S125" i="12" s="1"/>
  <c r="R204" i="12"/>
  <c r="S204" i="12" s="1"/>
  <c r="R267" i="12"/>
  <c r="R91" i="12"/>
  <c r="S91" i="12" s="1"/>
  <c r="R186" i="12"/>
  <c r="S186" i="12" s="1"/>
  <c r="R305" i="12"/>
  <c r="R289" i="12"/>
  <c r="R273" i="12"/>
  <c r="R257" i="12"/>
  <c r="S257" i="12" s="1"/>
  <c r="R241" i="12"/>
  <c r="S241" i="12" s="1"/>
  <c r="R225" i="12"/>
  <c r="S225" i="12" s="1"/>
  <c r="R209" i="12"/>
  <c r="S209" i="12" s="1"/>
  <c r="R193" i="12"/>
  <c r="S193" i="12" s="1"/>
  <c r="R177" i="12"/>
  <c r="S177" i="12" s="1"/>
  <c r="R97" i="12"/>
  <c r="S97" i="12" s="1"/>
  <c r="R239" i="12"/>
  <c r="S239" i="12" s="1"/>
  <c r="R174" i="12"/>
  <c r="S174" i="12" s="1"/>
  <c r="R237" i="12"/>
  <c r="S237" i="12" s="1"/>
  <c r="R77" i="12"/>
  <c r="S77" i="12" s="1"/>
  <c r="R188" i="12"/>
  <c r="S188" i="12" s="1"/>
  <c r="R251" i="12"/>
  <c r="S251" i="12" s="1"/>
  <c r="R202" i="12"/>
  <c r="S202" i="12" s="1"/>
  <c r="R304" i="12"/>
  <c r="R288" i="12"/>
  <c r="R272" i="12"/>
  <c r="R256" i="12"/>
  <c r="S256" i="12" s="1"/>
  <c r="R240" i="12"/>
  <c r="S240" i="12" s="1"/>
  <c r="R224" i="12"/>
  <c r="S224" i="12" s="1"/>
  <c r="R208" i="12"/>
  <c r="S208" i="12" s="1"/>
  <c r="R192" i="12"/>
  <c r="S192" i="12" s="1"/>
  <c r="R176" i="12"/>
  <c r="S176" i="12" s="1"/>
  <c r="R160" i="12"/>
  <c r="S160" i="12" s="1"/>
  <c r="R144" i="12"/>
  <c r="S144" i="12" s="1"/>
  <c r="R112" i="12"/>
  <c r="S112" i="12" s="1"/>
  <c r="R63" i="12"/>
  <c r="S63" i="12" s="1"/>
  <c r="R254" i="12"/>
  <c r="S254" i="12" s="1"/>
  <c r="R14" i="12"/>
  <c r="S14" i="12" s="1"/>
  <c r="R173" i="12"/>
  <c r="S173" i="12" s="1"/>
  <c r="R13" i="12"/>
  <c r="S13" i="12" s="1"/>
  <c r="R108" i="12"/>
  <c r="S108" i="12" s="1"/>
  <c r="R59" i="12"/>
  <c r="S59" i="12" s="1"/>
  <c r="R234" i="12"/>
  <c r="S234" i="12" s="1"/>
  <c r="R303" i="12"/>
  <c r="R287" i="12"/>
  <c r="R271" i="12"/>
  <c r="R255" i="12"/>
  <c r="S255" i="12" s="1"/>
  <c r="R223" i="12"/>
  <c r="S223" i="12" s="1"/>
  <c r="R159" i="12"/>
  <c r="S159" i="12" s="1"/>
  <c r="R47" i="12"/>
  <c r="S47" i="12" s="1"/>
  <c r="R190" i="12"/>
  <c r="S190" i="12" s="1"/>
  <c r="R78" i="12"/>
  <c r="S78" i="12" s="1"/>
  <c r="R301" i="12"/>
  <c r="R157" i="12"/>
  <c r="S157" i="12" s="1"/>
  <c r="R61" i="12"/>
  <c r="S61" i="12" s="1"/>
  <c r="R268" i="12"/>
  <c r="R140" i="12"/>
  <c r="S140" i="12" s="1"/>
  <c r="R44" i="12"/>
  <c r="S44" i="12" s="1"/>
  <c r="R299" i="12"/>
  <c r="R203" i="12"/>
  <c r="S203" i="12" s="1"/>
  <c r="R123" i="12"/>
  <c r="S123" i="12" s="1"/>
  <c r="R298" i="12"/>
  <c r="R90" i="12"/>
  <c r="S90" i="12" s="1"/>
  <c r="R297" i="12"/>
  <c r="R281" i="12"/>
  <c r="R265" i="12"/>
  <c r="R249" i="12"/>
  <c r="S249" i="12" s="1"/>
  <c r="R233" i="12"/>
  <c r="S233" i="12" s="1"/>
  <c r="R217" i="12"/>
  <c r="S217" i="12" s="1"/>
  <c r="R201" i="12"/>
  <c r="S201" i="12" s="1"/>
  <c r="R185" i="12"/>
  <c r="S185" i="12" s="1"/>
  <c r="R169" i="12"/>
  <c r="S169" i="12" s="1"/>
  <c r="R153" i="12"/>
  <c r="S153" i="12" s="1"/>
  <c r="R137" i="12"/>
  <c r="S137" i="12" s="1"/>
  <c r="R121" i="12"/>
  <c r="S121" i="12" s="1"/>
  <c r="R105" i="12"/>
  <c r="S105" i="12" s="1"/>
  <c r="R89" i="12"/>
  <c r="S89" i="12" s="1"/>
  <c r="R73" i="12"/>
  <c r="S73" i="12" s="1"/>
  <c r="R57" i="12"/>
  <c r="S57" i="12" s="1"/>
  <c r="R41" i="12"/>
  <c r="S41" i="12" s="1"/>
  <c r="R25" i="12"/>
  <c r="S25" i="12" s="1"/>
  <c r="R284" i="12"/>
  <c r="R76" i="12"/>
  <c r="S76" i="12" s="1"/>
  <c r="R235" i="12"/>
  <c r="S235" i="12" s="1"/>
  <c r="R75" i="12"/>
  <c r="S75" i="12" s="1"/>
  <c r="R250" i="12"/>
  <c r="S250" i="12" s="1"/>
  <c r="R122" i="12"/>
  <c r="S122" i="12" s="1"/>
  <c r="R26" i="12"/>
  <c r="S26" i="12" s="1"/>
  <c r="P10" i="12"/>
  <c r="P8" i="12"/>
  <c r="H16" i="12" l="1"/>
  <c r="B48" i="12"/>
  <c r="A41" i="17"/>
  <c r="F48" i="1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balvarez9</author>
  </authors>
  <commentList>
    <comment ref="AG8" authorId="0" shapeId="0" xr:uid="{00000000-0006-0000-0700-000001000000}">
      <text>
        <r>
          <rPr>
            <sz val="9"/>
            <color indexed="81"/>
            <rFont val="Tahoma"/>
            <family val="2"/>
          </rPr>
          <t xml:space="preserve">Input issue date to override calculation for spread at issuance. 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<sst xmlns="http://schemas.openxmlformats.org/spreadsheetml/2006/main" count="668" uniqueCount="430">
  <si>
    <t>PREV_CPN_DT</t>
  </si>
  <si>
    <t>SETTLE_DT</t>
  </si>
  <si>
    <t>CPN</t>
  </si>
  <si>
    <t>MTY_TYP</t>
  </si>
  <si>
    <t>MATURITY</t>
  </si>
  <si>
    <t xml:space="preserve">YIELD TO MATURITY </t>
  </si>
  <si>
    <t xml:space="preserve"> INT_ACC</t>
  </si>
  <si>
    <t>SETTLE DATE</t>
  </si>
  <si>
    <t>PRICING_SOURCE</t>
  </si>
  <si>
    <t>PRICING SOURCE</t>
  </si>
  <si>
    <t>NAME</t>
  </si>
  <si>
    <t>COUPON</t>
  </si>
  <si>
    <t>MATURITY TYPE</t>
  </si>
  <si>
    <t>INT ACCRUED</t>
  </si>
  <si>
    <t>M DURATION</t>
  </si>
  <si>
    <t>CONVEXITY</t>
  </si>
  <si>
    <t>ASK PRICE</t>
  </si>
  <si>
    <t xml:space="preserve">DURATION </t>
  </si>
  <si>
    <t>SENSITIVITY ANALYSIS</t>
  </si>
  <si>
    <t>CPN TYP</t>
  </si>
  <si>
    <t>COUPON TYPE</t>
  </si>
  <si>
    <t>COUPON FREQ</t>
  </si>
  <si>
    <t>CPN FREQ</t>
  </si>
  <si>
    <t>LAST CPN DATE</t>
  </si>
  <si>
    <t>REDEMP VAL</t>
  </si>
  <si>
    <t>PAR VALUE</t>
  </si>
  <si>
    <t>YIELD CALCULATIONS</t>
  </si>
  <si>
    <t>RISK</t>
  </si>
  <si>
    <t>INFLATION_ASSUMPTION</t>
  </si>
  <si>
    <t>PAR VALUE UPDATED</t>
  </si>
  <si>
    <t>NTN-B</t>
  </si>
  <si>
    <t>REFERENCE_CPI</t>
  </si>
  <si>
    <t>BASE_CPI</t>
  </si>
  <si>
    <t>INDEX VARIATION</t>
  </si>
  <si>
    <t>IPCA BASE</t>
  </si>
  <si>
    <t>IPCA LAST</t>
  </si>
  <si>
    <t>IPCA ASSUMPTION</t>
  </si>
  <si>
    <t>QUOTE%</t>
  </si>
  <si>
    <t>ECONOMIC FACTORS</t>
  </si>
  <si>
    <t>EI946569 Corp</t>
  </si>
  <si>
    <t>BNTNF 10.000 01/01/18</t>
  </si>
  <si>
    <t>EI138329 Corp</t>
  </si>
  <si>
    <t>BNTNF 10.000 01/01/21</t>
  </si>
  <si>
    <t>EJ060294 Corp</t>
  </si>
  <si>
    <t>BNTNF 10.000 01/01/23</t>
  </si>
  <si>
    <t>NTN-F</t>
  </si>
  <si>
    <t>CLEAN PRICE</t>
  </si>
  <si>
    <t>DIRTY PRICE</t>
  </si>
  <si>
    <t>NTN-C</t>
  </si>
  <si>
    <t>IGP-M BASE</t>
  </si>
  <si>
    <t>IGP-M LAST</t>
  </si>
  <si>
    <t>IGP-M ASSUMPTION</t>
  </si>
  <si>
    <t>LFT</t>
  </si>
  <si>
    <t>SELIC ACC</t>
  </si>
  <si>
    <t>ACCUMULATED_SELIC</t>
  </si>
  <si>
    <t>LTN</t>
  </si>
  <si>
    <t>SETTLE DT</t>
  </si>
  <si>
    <t>Name</t>
  </si>
  <si>
    <t>ISIN</t>
  </si>
  <si>
    <t>Sector</t>
  </si>
  <si>
    <t>Group</t>
  </si>
  <si>
    <t>Currency</t>
  </si>
  <si>
    <t>Country</t>
  </si>
  <si>
    <t>Country of Risk</t>
  </si>
  <si>
    <t>Collateral Type</t>
  </si>
  <si>
    <t>Maturity</t>
  </si>
  <si>
    <t>Redemption Type</t>
  </si>
  <si>
    <t>Coupon Type</t>
  </si>
  <si>
    <t>Coupon</t>
  </si>
  <si>
    <t>Coupon Frequency</t>
  </si>
  <si>
    <t>Day Count</t>
  </si>
  <si>
    <t>Moody's</t>
  </si>
  <si>
    <t>Amt Issued</t>
  </si>
  <si>
    <t>Amt Outstanding</t>
  </si>
  <si>
    <t>Par Amt</t>
  </si>
  <si>
    <t>Issue Price</t>
  </si>
  <si>
    <t>Issue Date</t>
  </si>
  <si>
    <t>Market of Issue</t>
  </si>
  <si>
    <t>Price</t>
  </si>
  <si>
    <t>Yield</t>
  </si>
  <si>
    <t>Accrued</t>
  </si>
  <si>
    <t>Days Accrued</t>
  </si>
  <si>
    <t>Date</t>
  </si>
  <si>
    <t>YTM (%)</t>
  </si>
  <si>
    <t>Interest</t>
  </si>
  <si>
    <t>Principal</t>
  </si>
  <si>
    <t>Holder Name</t>
  </si>
  <si>
    <t>Portfolio Name</t>
  </si>
  <si>
    <t>Source</t>
  </si>
  <si>
    <t>Amt Held</t>
  </si>
  <si>
    <t>%Out</t>
  </si>
  <si>
    <t>Latest Chg</t>
  </si>
  <si>
    <t>File Dt</t>
  </si>
  <si>
    <t>Inst Type</t>
  </si>
  <si>
    <t>Metro Area</t>
  </si>
  <si>
    <t>Rating</t>
  </si>
  <si>
    <t>Effective</t>
  </si>
  <si>
    <t>Outlook</t>
  </si>
  <si>
    <t>Issuer Rating</t>
  </si>
  <si>
    <t>Long Term Rating</t>
  </si>
  <si>
    <t>LC Curr Issuer Rating</t>
  </si>
  <si>
    <t>Senior Unsecured Debt</t>
  </si>
  <si>
    <t>Short Term</t>
  </si>
  <si>
    <t>Subordinated Debt</t>
  </si>
  <si>
    <t>JR Subordinated Debt</t>
  </si>
  <si>
    <t>Foreign LT Bank Deposits</t>
  </si>
  <si>
    <t>Local LT Bank Deposits</t>
  </si>
  <si>
    <t>CC LT Foreign Bank Deposit</t>
  </si>
  <si>
    <t>CC LT Foreign Curr Debt</t>
  </si>
  <si>
    <t>CC ST Foreign Bank Deposit</t>
  </si>
  <si>
    <t>CC ST Foreign Curr Debt</t>
  </si>
  <si>
    <t>Foreign Currency LT Debt</t>
  </si>
  <si>
    <t>Local Currency LT Debt</t>
  </si>
  <si>
    <t>Foreign Currency ST Debt</t>
  </si>
  <si>
    <t>Local Currency ST Debt</t>
  </si>
  <si>
    <t>Preferred Stock</t>
  </si>
  <si>
    <t>Bank Financial Strength</t>
  </si>
  <si>
    <t>Standard &amp; Poor's</t>
  </si>
  <si>
    <t>LT Foreign Issuer Credit</t>
  </si>
  <si>
    <t>LT Local Issuer Credit</t>
  </si>
  <si>
    <t>ST Foreign Issuer Credit</t>
  </si>
  <si>
    <t>ST Local Issuer Credit</t>
  </si>
  <si>
    <t>Fitch</t>
  </si>
  <si>
    <t>LT Issuer Default Rating</t>
  </si>
  <si>
    <t>ST Issuer Default Rating</t>
  </si>
  <si>
    <t>LT FC Issuer Default</t>
  </si>
  <si>
    <t>LT LC Issuer Default</t>
  </si>
  <si>
    <t>ST FC Issuer Default</t>
  </si>
  <si>
    <t>ST LC Issuer Default</t>
  </si>
  <si>
    <t>Issue Recover Rating</t>
  </si>
  <si>
    <t>Individual Rating</t>
  </si>
  <si>
    <t>Support Rating</t>
  </si>
  <si>
    <t>R&amp;I</t>
  </si>
  <si>
    <t>Short Term Credit Rating</t>
  </si>
  <si>
    <t>LT Foreign Crncy Outlook</t>
  </si>
  <si>
    <t>LT Domestic Outlook</t>
  </si>
  <si>
    <t>Foreign Curr Issuer Rtg</t>
  </si>
  <si>
    <t>Domestic Curr Issuer Rtg</t>
  </si>
  <si>
    <t>JCR</t>
  </si>
  <si>
    <t>Senior Debt</t>
  </si>
  <si>
    <t>Shadow Rating</t>
  </si>
  <si>
    <t>Issuer</t>
  </si>
  <si>
    <t>Amount Outstanding</t>
  </si>
  <si>
    <t>Average Coupon</t>
  </si>
  <si>
    <t>Average Maturity</t>
  </si>
  <si>
    <t>Number of Issues</t>
  </si>
  <si>
    <t>Year</t>
  </si>
  <si>
    <t>Amt (Mln)</t>
  </si>
  <si>
    <t>BID</t>
  </si>
  <si>
    <t>ASK</t>
  </si>
  <si>
    <t xml:space="preserve">QUOTE TYPE: </t>
  </si>
  <si>
    <t>YIELD TO MAT</t>
  </si>
  <si>
    <t>EJ501365 Corp</t>
  </si>
  <si>
    <t>BNTNF 10.000 01/01/19</t>
  </si>
  <si>
    <t>des_notes</t>
  </si>
  <si>
    <t>RTG_FITCH_NATIONAL</t>
  </si>
  <si>
    <t>industry_group</t>
  </si>
  <si>
    <t>industry_sector</t>
  </si>
  <si>
    <t>LEAD_MGR</t>
  </si>
  <si>
    <t>issue_dt</t>
  </si>
  <si>
    <t>par_amt</t>
  </si>
  <si>
    <t>amt_outstanding MMM</t>
  </si>
  <si>
    <t>amt_issued MMM</t>
  </si>
  <si>
    <t>cpn</t>
  </si>
  <si>
    <t>mty_typ</t>
  </si>
  <si>
    <t>ULT_PARENT_TICKER_EXCHANGE</t>
  </si>
  <si>
    <t>FLOATER_FORMULA</t>
  </si>
  <si>
    <t>CALC_TYP_DES</t>
  </si>
  <si>
    <t>SECURITY DES</t>
  </si>
  <si>
    <t>TICKER</t>
  </si>
  <si>
    <t>NOTES</t>
  </si>
  <si>
    <t>FITCH</t>
  </si>
  <si>
    <t>MOODY</t>
  </si>
  <si>
    <t>S&amp;P</t>
  </si>
  <si>
    <t>LEAD MANAGER/ UNDERWRITER</t>
  </si>
  <si>
    <t>ISSUE DATE</t>
  </si>
  <si>
    <t>FACE  AMOUNT</t>
  </si>
  <si>
    <t xml:space="preserve">AMOUNT OUTSTANDING </t>
  </si>
  <si>
    <t>AMOUNT ISSUED</t>
  </si>
  <si>
    <t>MOD DURATION</t>
  </si>
  <si>
    <t>DURATION</t>
  </si>
  <si>
    <t>COMPANY TICKER</t>
  </si>
  <si>
    <t>CALCULATION FORMULA</t>
  </si>
  <si>
    <t>CALCULATION TYPE</t>
  </si>
  <si>
    <t>BOND DESCRIPTION</t>
  </si>
  <si>
    <t>COMPANY</t>
  </si>
  <si>
    <t>ID_STOCK_EXCHANGE</t>
  </si>
  <si>
    <t>CETIP CODE</t>
  </si>
  <si>
    <t>YIELD FLAG</t>
  </si>
  <si>
    <t>price</t>
  </si>
  <si>
    <t>UNITARY PRICE</t>
  </si>
  <si>
    <t>INPUT PRICE</t>
  </si>
  <si>
    <t xml:space="preserve"> YIELD</t>
  </si>
  <si>
    <t>INPUT YIELD</t>
  </si>
  <si>
    <t>YIELD</t>
  </si>
  <si>
    <t>ANDE</t>
  </si>
  <si>
    <t>ande settle date</t>
  </si>
  <si>
    <t>ANDE SETTLE</t>
  </si>
  <si>
    <t>INDUSTRY</t>
  </si>
  <si>
    <t>SECTOR</t>
  </si>
  <si>
    <t>GROUP</t>
  </si>
  <si>
    <t>DATE</t>
  </si>
  <si>
    <t>TYPE</t>
  </si>
  <si>
    <t>ISSUE INFORMATION</t>
  </si>
  <si>
    <t>ANDE SETTLE DATE</t>
  </si>
  <si>
    <t>YLD_AVL_TO_PAR_ASK</t>
  </si>
  <si>
    <t>EK016928 Corp</t>
  </si>
  <si>
    <t>BNTNF 10.000 01/01/25</t>
  </si>
  <si>
    <t>SPREAD AT ISSUANCE</t>
  </si>
  <si>
    <t>AVG_LIFE_LONGEST</t>
  </si>
  <si>
    <t>SPREAD AT ISSUANCE IPCA</t>
  </si>
  <si>
    <t>PU PAR</t>
  </si>
  <si>
    <t>INDEX</t>
  </si>
  <si>
    <t>DI SPREAD/PERCNT</t>
  </si>
  <si>
    <t>% QUOTE / % PAR</t>
  </si>
  <si>
    <t xml:space="preserve">Rules </t>
  </si>
  <si>
    <t>calc type</t>
  </si>
  <si>
    <t>Mat type</t>
  </si>
  <si>
    <t>Index</t>
  </si>
  <si>
    <t>PU Par</t>
  </si>
  <si>
    <t>CPN_TYP</t>
  </si>
  <si>
    <t>1368/1401</t>
  </si>
  <si>
    <t>callable</t>
  </si>
  <si>
    <t>BZDIOVRA</t>
  </si>
  <si>
    <t>YLD_YTM_ASK/YLD CNV ASK</t>
  </si>
  <si>
    <t>YLD_YTM_ASK</t>
  </si>
  <si>
    <t>Fl</t>
  </si>
  <si>
    <t>sinkable</t>
  </si>
  <si>
    <t>BZCLVLUE</t>
  </si>
  <si>
    <t>YLD_YTM_ASK w/ CPN</t>
  </si>
  <si>
    <t>Fx</t>
  </si>
  <si>
    <t>call/sinkable</t>
  </si>
  <si>
    <t>YLD_YTM_ASK /YLD CNV ASK</t>
  </si>
  <si>
    <t>callable/sinkable</t>
  </si>
  <si>
    <t>at maturity</t>
  </si>
  <si>
    <t>CALLABLE/AT MATURITY</t>
  </si>
  <si>
    <t>SINKABLE</t>
  </si>
  <si>
    <t>CONVERTIBLE</t>
  </si>
  <si>
    <t>PUTABLE</t>
  </si>
  <si>
    <t>EJ228050 Corp</t>
  </si>
  <si>
    <t xml:space="preserve">National </t>
  </si>
  <si>
    <t>RTG_MDY_NSR_ISSUER</t>
  </si>
  <si>
    <t>NATIONAL RATINGS</t>
  </si>
  <si>
    <t>RTG_SP_NATIONAL</t>
  </si>
  <si>
    <t>yield at issuance</t>
  </si>
  <si>
    <t>issue date</t>
  </si>
  <si>
    <t>PRICE AT ISSUANCE</t>
  </si>
  <si>
    <t>EJ4206003 Corp</t>
  </si>
  <si>
    <t>EK1419994 Corp</t>
  </si>
  <si>
    <t>INPUT ISSUE DATE</t>
  </si>
  <si>
    <t>EK055372 Corp</t>
  </si>
  <si>
    <t>EJ442371 Corp</t>
  </si>
  <si>
    <t>EJ644109 Corp</t>
  </si>
  <si>
    <t>EJ422200 Corp</t>
  </si>
  <si>
    <t>EJ199800 Corp</t>
  </si>
  <si>
    <t>EJ792771 Corp</t>
  </si>
  <si>
    <t>EJ422135 Corp</t>
  </si>
  <si>
    <t>EK055396 Corp</t>
  </si>
  <si>
    <t>EJ588860 Corp</t>
  </si>
  <si>
    <t>EJ456856 Corp</t>
  </si>
  <si>
    <t>EJ417577 Corp</t>
  </si>
  <si>
    <t>EK070894 Corp</t>
  </si>
  <si>
    <t>EJ876283 Corp</t>
  </si>
  <si>
    <t>EK128086 Corp</t>
  </si>
  <si>
    <t>EK055420 Corp</t>
  </si>
  <si>
    <t>EJ264637 Corp</t>
  </si>
  <si>
    <t>EJ945923 Corp</t>
  </si>
  <si>
    <t>EJ034594 Corp</t>
  </si>
  <si>
    <t>EJ450916 Corp</t>
  </si>
  <si>
    <t>EJ088074 Corp</t>
  </si>
  <si>
    <t>EJ313066 Corp</t>
  </si>
  <si>
    <t>EJ417687 Corp</t>
  </si>
  <si>
    <t>EJ589220 Corp</t>
  </si>
  <si>
    <t>EJ424600 Corp</t>
  </si>
  <si>
    <t>EK064417 Corp</t>
  </si>
  <si>
    <t>EJ493748 Corp</t>
  </si>
  <si>
    <t>EJ947490 Corp</t>
  </si>
  <si>
    <t>EJ905503 Corp</t>
  </si>
  <si>
    <t>EJ896299 Corp</t>
  </si>
  <si>
    <t>EJ947496 Corp</t>
  </si>
  <si>
    <t>EJ042961 Corp</t>
  </si>
  <si>
    <t>EJ238814 Corp</t>
  </si>
  <si>
    <t>EI886024 Corp</t>
  </si>
  <si>
    <t>EJ087310 Corp</t>
  </si>
  <si>
    <t>EJ816446 Corp</t>
  </si>
  <si>
    <t>EI340246 Corp</t>
  </si>
  <si>
    <t>EJ662742 Corp</t>
  </si>
  <si>
    <t>EJ721111 Corp</t>
  </si>
  <si>
    <t>EJ573906 Corp</t>
  </si>
  <si>
    <t>EJ662932 Corp</t>
  </si>
  <si>
    <t>EI198047 Corp</t>
  </si>
  <si>
    <t>EJ816466 Corp</t>
  </si>
  <si>
    <t>EJ479689 Corp</t>
  </si>
  <si>
    <t>EJ947514 Corp</t>
  </si>
  <si>
    <t>EJ947502 Corp</t>
  </si>
  <si>
    <t>EJ589035 Corp</t>
  </si>
  <si>
    <t>EH975243 Corp</t>
  </si>
  <si>
    <t>EJ036303 Corp</t>
  </si>
  <si>
    <t>EI180851 Corp</t>
  </si>
  <si>
    <t>EJ113945 Corp</t>
  </si>
  <si>
    <t>EJ504746 Corp</t>
  </si>
  <si>
    <t>EJ905467 Corp</t>
  </si>
  <si>
    <t>EK001691 Corp</t>
  </si>
  <si>
    <t>EJ297761 Corp</t>
  </si>
  <si>
    <t>EJ041844 Corp</t>
  </si>
  <si>
    <t>EJ569989 Corp</t>
  </si>
  <si>
    <t>EJ708871 Corp</t>
  </si>
  <si>
    <t>EJ637497 Corp</t>
  </si>
  <si>
    <t>EJ450896 Corp</t>
  </si>
  <si>
    <t>EJ324474 Corp</t>
  </si>
  <si>
    <t>EJ688306 Corp</t>
  </si>
  <si>
    <t>EJ662712 Corp</t>
  </si>
  <si>
    <t>EJ810145 Corp</t>
  </si>
  <si>
    <t>EJ721116 Corp</t>
  </si>
  <si>
    <t>EI930788 Corp</t>
  </si>
  <si>
    <t>EJ417662 Corp</t>
  </si>
  <si>
    <t>EJ034586 Corp</t>
  </si>
  <si>
    <t>EK004065 Corp</t>
  </si>
  <si>
    <t>EJ324464 Corp</t>
  </si>
  <si>
    <t>EJ800554 Corp</t>
  </si>
  <si>
    <t>EJ551526 Corp</t>
  </si>
  <si>
    <t>EJ757049 Corp</t>
  </si>
  <si>
    <t>EJ726290 Corp</t>
  </si>
  <si>
    <t>EJ506725 Corp</t>
  </si>
  <si>
    <t>EJ043589 Corp</t>
  </si>
  <si>
    <t>EK092488 Corp</t>
  </si>
  <si>
    <t>EJ225953 Corp</t>
  </si>
  <si>
    <t>EJ252000 Corp</t>
  </si>
  <si>
    <t>EJ195861 Corp</t>
  </si>
  <si>
    <t>EJ417692 Corp</t>
  </si>
  <si>
    <t>EJ036211 Corp</t>
  </si>
  <si>
    <t>EI999202 Corp</t>
  </si>
  <si>
    <t>EI963014 Corp</t>
  </si>
  <si>
    <t>EI919918 Corp</t>
  </si>
  <si>
    <t>EH224734 Corp</t>
  </si>
  <si>
    <t>EI924058 Corp</t>
  </si>
  <si>
    <t>EJ044783 Corp</t>
  </si>
  <si>
    <t>EJ305916 Corp</t>
  </si>
  <si>
    <t>EJ238804 Corp</t>
  </si>
  <si>
    <t>EJ042957 Corp</t>
  </si>
  <si>
    <t>EJ721121 Corp</t>
  </si>
  <si>
    <t>EJ074230 Corp</t>
  </si>
  <si>
    <t>EJ420600 Corp</t>
  </si>
  <si>
    <t>EI661633 Corp</t>
  </si>
  <si>
    <t>EJ007396 Corp</t>
  </si>
  <si>
    <t>EJ831762 Corp</t>
  </si>
  <si>
    <t>MID</t>
  </si>
  <si>
    <t>JV534152 Corp</t>
  </si>
  <si>
    <t>BNTNF 10.000 01/01/27</t>
  </si>
  <si>
    <t>ULTIMATE PARENT TICKER</t>
  </si>
  <si>
    <t>PARENT NAME</t>
  </si>
  <si>
    <t>RTG_SP</t>
  </si>
  <si>
    <t>RTG_FITCH</t>
  </si>
  <si>
    <t>Moodys</t>
  </si>
  <si>
    <t>RTG_MOODY_LONG_ISSUE_LEVEL</t>
  </si>
  <si>
    <t>RTG_MOODY_LONG_TERM</t>
  </si>
  <si>
    <t>RTG_SP_LT_LC_ISSUER_CREDIT</t>
  </si>
  <si>
    <t>RTG_FITCH_LT_LC_ISSUER_DEFAULT</t>
  </si>
  <si>
    <t>INDICATIVE INTERVAL</t>
  </si>
  <si>
    <t>Max. (T+0)</t>
  </si>
  <si>
    <t>Min (T+0)</t>
  </si>
  <si>
    <t>YLD_YTM_BID</t>
  </si>
  <si>
    <t xml:space="preserve">This application allows users to price all Brazilian government bonds and  analyse the bond curves by its type. It also presents in depth analysis for a single 
</t>
  </si>
  <si>
    <t>bond as well as trade ticket functionality.</t>
  </si>
  <si>
    <t>BOND tab</t>
  </si>
  <si>
    <t>This tab features in depth information for a single bond such as: descriptive data, top holders information, credit profile, debt distribution and cash flow.</t>
  </si>
  <si>
    <t>Public Bonds Calculator tabs</t>
  </si>
  <si>
    <t>Each tab presents all Brazilian government bonds by its type (NTN-B, NTN-F, NTN-C, LFT and LTN) and the respective bond curve graph.</t>
  </si>
  <si>
    <t>input cells</t>
  </si>
  <si>
    <t>output cells</t>
  </si>
  <si>
    <t>*PRICING SOURCES  codes can be obtained on ALLQ&lt;go&gt;</t>
  </si>
  <si>
    <t>Debentures Calculator tabs</t>
  </si>
  <si>
    <t xml:space="preserve">The DEBENTURES tab aggregates a sample of debentures tickers and provides yield/price calculations and bond descriptive informartion as well. </t>
  </si>
  <si>
    <t>To evaluate a list of debentures tickers, just drag&amp;drop into the first column of the table.</t>
  </si>
  <si>
    <t>Function DEBE&lt;GO&gt; in the terminal provides more information on Brazilian debentures and a search engine as well.</t>
  </si>
  <si>
    <t>DESCRIPTION</t>
  </si>
  <si>
    <t>TOP 20 HOLDERS</t>
  </si>
  <si>
    <t>CREDIT PROFILES</t>
  </si>
  <si>
    <t xml:space="preserve">Ratings </t>
  </si>
  <si>
    <t>DEBT DISTRIBUTION</t>
  </si>
  <si>
    <t>CASHFLOW</t>
  </si>
  <si>
    <t>DETAILED SCHEDULE</t>
  </si>
  <si>
    <t>AMOUNT OUTSTANDING HISTORY</t>
  </si>
  <si>
    <t>BNTNB 6.000 05/15/55 Corp</t>
  </si>
  <si>
    <t>UNDERWRITER INFORMATION</t>
  </si>
  <si>
    <t>EI143592 Corp</t>
  </si>
  <si>
    <t>EF323775 Corp</t>
  </si>
  <si>
    <t>EI143596 Corp</t>
  </si>
  <si>
    <t>ED575776 Corp</t>
  </si>
  <si>
    <t>EI143600 Corp</t>
  </si>
  <si>
    <t>EK697111 Corp</t>
  </si>
  <si>
    <t>AQ608474 Corp</t>
  </si>
  <si>
    <t>ZP208480 Corp</t>
  </si>
  <si>
    <t>BT274981 Corp</t>
  </si>
  <si>
    <t>ZF160325 Corp</t>
  </si>
  <si>
    <t>BT275444 Corp</t>
  </si>
  <si>
    <t>AQ692952 Corp</t>
  </si>
  <si>
    <t>ZF160502 Corp</t>
  </si>
  <si>
    <t>BT275281 Corp</t>
  </si>
  <si>
    <t>ZM026356 Corp</t>
  </si>
  <si>
    <t>BT275588 Corp</t>
  </si>
  <si>
    <t>ZJ042848 Corp</t>
  </si>
  <si>
    <t>BX504643 Corp</t>
  </si>
  <si>
    <t>ZF159630 Corp</t>
  </si>
  <si>
    <t>ZM025339 Corp</t>
  </si>
  <si>
    <t>YW120566 Corp</t>
  </si>
  <si>
    <t>YS313564 Corp</t>
  </si>
  <si>
    <t>ZJ042888 Corp</t>
  </si>
  <si>
    <t>YN481867 Corp</t>
  </si>
  <si>
    <t>ZF159734 Corp</t>
  </si>
  <si>
    <t>YW120790 Corp</t>
  </si>
  <si>
    <t>YS313117 Corp</t>
  </si>
  <si>
    <t>YN482390 Corp</t>
  </si>
  <si>
    <t>ZF159828 Corp</t>
  </si>
  <si>
    <t>YS311871 Corp</t>
  </si>
  <si>
    <t>AW701271 Corp</t>
  </si>
  <si>
    <t>ZP208481 Corp</t>
  </si>
  <si>
    <t>ZO783890 Corp</t>
  </si>
  <si>
    <t>BQ140961 Corp</t>
  </si>
  <si>
    <t>BT274758 Corp</t>
  </si>
  <si>
    <t>BV758571 Corp</t>
  </si>
  <si>
    <t>BZ160604 Corp</t>
  </si>
  <si>
    <t>ZJ042916 Corp</t>
  </si>
  <si>
    <t>ZF160659 Corp</t>
  </si>
  <si>
    <t>ZF160883 Corp</t>
  </si>
  <si>
    <t>ZF161125 Corp</t>
  </si>
  <si>
    <t>ZF161289 Corp</t>
  </si>
  <si>
    <t>YS314018 Corp</t>
  </si>
  <si>
    <t>YQ902435 Corp</t>
  </si>
  <si>
    <t>YN482014 Corp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</si>
</sst>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5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#,##0.0000"/>
    <numFmt numFmtId="165" formatCode="0.000000"/>
    <numFmt numFmtId="166" formatCode="#,##0.000"/>
    <numFmt numFmtId="167" formatCode="0.0000"/>
    <numFmt numFmtId="168" formatCode="[$-409]d\-mmm\-yy;@"/>
    <numFmt numFmtId="169" formatCode="0.000"/>
    <numFmt numFmtId="170" formatCode="0.00000"/>
    <numFmt numFmtId="171" formatCode="0.00000000"/>
    <numFmt numFmtId="172" formatCode="#,##0.00000"/>
    <numFmt numFmtId="173" formatCode="_(&quot;$&quot;* #,##0.0000_);_(&quot;$&quot;* \(#,##0.0000\);_(&quot;$&quot;* &quot;-&quot;??_);_(@_)"/>
    <numFmt numFmtId="174" formatCode="_(&quot;$&quot;* #,##0.00000_);_(&quot;$&quot;* \(#,##0.00000\);_(&quot;$&quot;* &quot;-&quot;??_);_(@_)"/>
    <numFmt numFmtId="175" formatCode="_(&quot;$&quot;* #,##0.000000_);_(&quot;$&quot;* \(#,##0.000000\);_(&quot;$&quot;* &quot;-&quot;??_);_(@_)"/>
    <numFmt numFmtId="176" formatCode="_(&quot;$&quot;* #,##0.0000000_);_(&quot;$&quot;* \(#,##0.0000000\);_(&quot;$&quot;* &quot;-&quot;??_);_(@_)"/>
  </numFmts>
  <fonts count="25" x14ac:knownFonts="1"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0" tint="-0.499984740745262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color rgb="FF0070C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1"/>
      <color indexed="56"/>
      <name val="Calibri"/>
      <family val="2"/>
      <scheme val="minor"/>
    </font>
    <font>
      <sz val="8"/>
      <color rgb="FF000000"/>
      <name val="Tahoma"/>
      <family val="2"/>
    </font>
    <font>
      <sz val="11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4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color rgb="FFFFFFFF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1"/>
      <color theme="4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9" tint="-0.249977111117893"/>
      <name val="Calibri"/>
      <family val="2"/>
      <scheme val="minor"/>
    </font>
  </fonts>
  <fills count="27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gradientFill>
        <stop position="0">
          <color rgb="FFFCD5B4"/>
        </stop>
        <stop position="0.5">
          <color rgb="FFFDE9D9"/>
        </stop>
        <stop position="1">
          <color rgb="FFFCD5B4"/>
        </stop>
      </gradientFill>
    </fill>
    <fill>
      <gradientFill>
        <stop position="0">
          <color rgb="FF1F497D"/>
        </stop>
        <stop position="0.5">
          <color rgb="FF4F81BD"/>
        </stop>
        <stop position="1">
          <color rgb="FF1F497D"/>
        </stop>
      </gradientFill>
    </fill>
    <fill>
      <patternFill patternType="solid">
        <fgColor rgb="FFB8CCE4"/>
        <bgColor indexed="64"/>
      </patternFill>
    </fill>
    <fill>
      <gradientFill degree="270">
        <stop position="0">
          <color rgb="FFFFFFFF"/>
        </stop>
        <stop position="1">
          <color rgb="FFB8CCE4"/>
        </stop>
      </gradientFill>
    </fill>
    <fill>
      <gradientFill type="path" top="1">
        <stop position="0">
          <color rgb="FFFFFFFF"/>
        </stop>
        <stop position="1">
          <color rgb="FFB8CCE4"/>
        </stop>
      </gradientFill>
    </fill>
    <fill>
      <gradientFill degree="270">
        <stop position="0">
          <color rgb="FFB8CCE4"/>
        </stop>
        <stop position="1">
          <color rgb="FFFFFFFF"/>
        </stop>
      </gradientFill>
    </fill>
    <fill>
      <gradientFill type="path" left="1">
        <stop position="0">
          <color rgb="FFFFFFFF"/>
        </stop>
        <stop position="1">
          <color rgb="FFB8CCE4"/>
        </stop>
      </gradientFill>
    </fill>
    <fill>
      <gradientFill type="path">
        <stop position="0">
          <color rgb="FFFFFFFF"/>
        </stop>
        <stop position="1">
          <color rgb="FFB8CCE4"/>
        </stop>
      </gradientFill>
    </fill>
    <fill>
      <gradientFill type="path">
        <stop position="0">
          <color rgb="FFB8CCE4"/>
        </stop>
        <stop position="1">
          <color rgb="FFFFFFFF"/>
        </stop>
      </gradientFill>
    </fill>
    <fill>
      <gradientFill degree="180">
        <stop position="0">
          <color rgb="FFFFFFFF"/>
        </stop>
        <stop position="1">
          <color rgb="FFB8CCE4"/>
        </stop>
      </gradientFill>
    </fill>
    <fill>
      <gradientFill degree="180">
        <stop position="0">
          <color rgb="FFB8CCE4"/>
        </stop>
        <stop position="1">
          <color rgb="FFFFFFFF"/>
        </stop>
      </gradientFill>
    </fill>
    <fill>
      <gradientFill type="path" left="1" right="1" top="1" bottom="1">
        <stop position="0">
          <color rgb="FFFFFFFF"/>
        </stop>
        <stop position="1">
          <color rgb="FFB8CCE4"/>
        </stop>
      </gradientFill>
    </fill>
    <fill>
      <gradientFill>
        <stop position="0">
          <color rgb="FFB8CCE4"/>
        </stop>
        <stop position="0.5">
          <color rgb="FFDCE6F1"/>
        </stop>
        <stop position="1">
          <color rgb="FFB8CCE4"/>
        </stop>
      </gradientFill>
    </fill>
    <fill>
      <gradientFill>
        <stop position="0">
          <color rgb="FFE26B0A"/>
        </stop>
        <stop position="0.5">
          <color rgb="FFFABF8F"/>
        </stop>
        <stop position="1">
          <color rgb="FFE26B0A"/>
        </stop>
      </gradientFill>
    </fill>
    <fill>
      <gradientFill>
        <stop position="0">
          <color theme="3" tint="0.80001220740379042"/>
        </stop>
        <stop position="0.5">
          <color theme="4" tint="0.80001220740379042"/>
        </stop>
        <stop position="1">
          <color theme="3" tint="0.80001220740379042"/>
        </stop>
      </gradientFill>
    </fill>
    <fill>
      <gradientFill>
        <stop position="0">
          <color theme="3"/>
        </stop>
        <stop position="0.5">
          <color theme="4"/>
        </stop>
        <stop position="1">
          <color theme="3"/>
        </stop>
      </gradientFill>
    </fill>
    <fill>
      <gradientFill>
        <stop position="0">
          <color theme="3" tint="0.59999389629810485"/>
        </stop>
        <stop position="0.5">
          <color theme="3" tint="0.80001220740379042"/>
        </stop>
        <stop position="1">
          <color theme="3" tint="0.59999389629810485"/>
        </stop>
      </gradientFill>
    </fill>
    <fill>
      <gradientFill>
        <stop position="0">
          <color theme="4" tint="0.59999389629810485"/>
        </stop>
        <stop position="0.5">
          <color theme="4" tint="0.80001220740379042"/>
        </stop>
        <stop position="1">
          <color theme="4" tint="0.59999389629810485"/>
        </stop>
      </gradientFill>
    </fill>
    <fill>
      <gradientFill>
        <stop position="0">
          <color theme="9" tint="0.59999389629810485"/>
        </stop>
        <stop position="0.5">
          <color theme="9" tint="0.80001220740379042"/>
        </stop>
        <stop position="1">
          <color theme="9" tint="0.59999389629810485"/>
        </stop>
      </gradientFill>
    </fill>
  </fills>
  <borders count="8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/>
      <right style="thin">
        <color theme="0" tint="-4.9989318521683403E-2"/>
      </right>
      <top/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/>
      <top/>
      <bottom style="thin">
        <color theme="0" tint="-0.499984740745262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/>
      <diagonal/>
    </border>
    <border>
      <left style="thin">
        <color indexed="9"/>
      </left>
      <right style="thin">
        <color indexed="9"/>
      </right>
      <top style="thin">
        <color indexed="64"/>
      </top>
      <bottom/>
      <diagonal/>
    </border>
    <border>
      <left style="thin">
        <color indexed="9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 style="thin">
        <color indexed="9"/>
      </left>
      <right style="thin">
        <color indexed="64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64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n">
        <color indexed="64"/>
      </right>
      <top style="thin">
        <color theme="0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9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 style="thin">
        <color indexed="64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indexed="64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theme="0"/>
      </right>
      <top style="thin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indexed="64"/>
      </bottom>
      <diagonal/>
    </border>
    <border>
      <left style="thin">
        <color theme="0"/>
      </left>
      <right style="thin">
        <color indexed="64"/>
      </right>
      <top style="thin">
        <color theme="0"/>
      </top>
      <bottom style="thin">
        <color indexed="64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theme="0"/>
      </left>
      <right style="thin">
        <color indexed="64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theme="0"/>
      </top>
      <bottom style="thin">
        <color theme="0"/>
      </bottom>
      <diagonal/>
    </border>
    <border>
      <left/>
      <right style="thin">
        <color indexed="64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theme="0"/>
      </right>
      <top style="thin">
        <color indexed="9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indexed="9"/>
      </top>
      <bottom style="thin">
        <color theme="0"/>
      </bottom>
      <diagonal/>
    </border>
    <border>
      <left style="thin">
        <color theme="0"/>
      </left>
      <right style="thin">
        <color indexed="64"/>
      </right>
      <top style="thin">
        <color indexed="9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64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 style="thin">
        <color theme="0"/>
      </right>
      <top style="thin">
        <color theme="0"/>
      </top>
      <bottom style="thin">
        <color indexed="9"/>
      </bottom>
      <diagonal/>
    </border>
    <border>
      <left style="thin">
        <color theme="0"/>
      </left>
      <right style="thin">
        <color indexed="64"/>
      </right>
      <top style="thin">
        <color theme="0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9"/>
      </bottom>
      <diagonal/>
    </border>
    <border>
      <left style="thin">
        <color theme="0" tint="-4.9989318521683403E-2"/>
      </left>
      <right style="thin">
        <color theme="0" tint="-4.9989318521683403E-2"/>
      </right>
      <top/>
      <bottom/>
      <diagonal/>
    </border>
    <border>
      <left style="thin">
        <color theme="0" tint="-4.9989318521683403E-2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indexed="64"/>
      </right>
      <top/>
      <bottom style="thin">
        <color theme="0"/>
      </bottom>
      <diagonal/>
    </border>
    <border>
      <left style="thin">
        <color indexed="9"/>
      </left>
      <right/>
      <top style="thin">
        <color indexed="64"/>
      </top>
      <bottom style="thin">
        <color indexed="9"/>
      </bottom>
      <diagonal/>
    </border>
    <border>
      <left style="thin">
        <color theme="0"/>
      </left>
      <right/>
      <top style="thin">
        <color indexed="64"/>
      </top>
      <bottom style="thin">
        <color theme="0"/>
      </bottom>
      <diagonal/>
    </border>
    <border>
      <left style="thin">
        <color theme="0"/>
      </left>
      <right style="thin">
        <color indexed="64"/>
      </right>
      <top/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64"/>
      </bottom>
      <diagonal/>
    </border>
    <border>
      <left/>
      <right/>
      <top style="thin">
        <color theme="0"/>
      </top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indexed="64"/>
      </bottom>
      <diagonal/>
    </border>
    <border>
      <left style="thin">
        <color theme="0"/>
      </left>
      <right/>
      <top style="thin">
        <color theme="0"/>
      </top>
      <bottom style="thin">
        <color indexed="64"/>
      </bottom>
      <diagonal/>
    </border>
    <border>
      <left style="thin">
        <color indexed="9"/>
      </left>
      <right style="thin">
        <color indexed="64"/>
      </right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64"/>
      </right>
      <top/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indexed="64"/>
      </right>
      <top style="thin">
        <color indexed="64"/>
      </top>
      <bottom style="thin">
        <color theme="0"/>
      </bottom>
      <diagonal/>
    </border>
  </borders>
  <cellStyleXfs count="4">
    <xf numFmtId="0" fontId="0" fillId="0" borderId="0"/>
    <xf numFmtId="43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344">
    <xf numFmtId="0" fontId="0" fillId="0" borderId="0" xfId="0"/>
    <xf numFmtId="0" fontId="3" fillId="0" borderId="0" xfId="0" applyFont="1"/>
    <xf numFmtId="0" fontId="3" fillId="0" borderId="0" xfId="0" applyFont="1" applyAlignment="1">
      <alignment horizontal="center"/>
    </xf>
    <xf numFmtId="0" fontId="3" fillId="4" borderId="0" xfId="0" applyFont="1" applyFill="1"/>
    <xf numFmtId="0" fontId="4" fillId="4" borderId="0" xfId="0" applyFont="1" applyFill="1"/>
    <xf numFmtId="0" fontId="0" fillId="4" borderId="0" xfId="0" applyFill="1"/>
    <xf numFmtId="0" fontId="5" fillId="4" borderId="0" xfId="0" applyFont="1" applyFill="1" applyAlignment="1">
      <alignment horizontal="center"/>
    </xf>
    <xf numFmtId="0" fontId="3" fillId="4" borderId="0" xfId="0" applyFont="1" applyFill="1" applyAlignment="1">
      <alignment horizontal="center"/>
    </xf>
    <xf numFmtId="0" fontId="6" fillId="4" borderId="6" xfId="0" applyFont="1" applyFill="1" applyBorder="1" applyAlignment="1">
      <alignment horizontal="center"/>
    </xf>
    <xf numFmtId="0" fontId="3" fillId="4" borderId="6" xfId="0" applyFont="1" applyFill="1" applyBorder="1" applyAlignment="1">
      <alignment horizontal="center"/>
    </xf>
    <xf numFmtId="0" fontId="7" fillId="4" borderId="6" xfId="0" applyFont="1" applyFill="1" applyBorder="1" applyAlignment="1">
      <alignment horizontal="center"/>
    </xf>
    <xf numFmtId="0" fontId="8" fillId="4" borderId="6" xfId="0" applyFont="1" applyFill="1" applyBorder="1" applyAlignment="1">
      <alignment horizontal="center"/>
    </xf>
    <xf numFmtId="0" fontId="10" fillId="0" borderId="20" xfId="0" applyFont="1" applyBorder="1"/>
    <xf numFmtId="0" fontId="0" fillId="0" borderId="20" xfId="0" applyBorder="1"/>
    <xf numFmtId="0" fontId="10" fillId="0" borderId="0" xfId="0" applyFont="1"/>
    <xf numFmtId="0" fontId="12" fillId="20" borderId="5" xfId="0" applyFont="1" applyFill="1" applyBorder="1" applyAlignment="1">
      <alignment vertical="top"/>
    </xf>
    <xf numFmtId="0" fontId="13" fillId="21" borderId="2" xfId="0" applyFont="1" applyFill="1" applyBorder="1" applyAlignment="1">
      <alignment vertical="top"/>
    </xf>
    <xf numFmtId="0" fontId="9" fillId="10" borderId="2" xfId="0" applyFont="1" applyFill="1" applyBorder="1" applyAlignment="1">
      <alignment vertical="top"/>
    </xf>
    <xf numFmtId="0" fontId="0" fillId="0" borderId="0" xfId="0" applyAlignment="1">
      <alignment horizontal="left"/>
    </xf>
    <xf numFmtId="0" fontId="17" fillId="0" borderId="0" xfId="0" applyFont="1" applyAlignment="1">
      <alignment horizontal="right"/>
    </xf>
    <xf numFmtId="0" fontId="0" fillId="5" borderId="0" xfId="0" applyFill="1" applyAlignment="1">
      <alignment horizontal="left"/>
    </xf>
    <xf numFmtId="0" fontId="0" fillId="5" borderId="0" xfId="0" applyFill="1"/>
    <xf numFmtId="168" fontId="0" fillId="0" borderId="0" xfId="0" applyNumberFormat="1"/>
    <xf numFmtId="0" fontId="16" fillId="3" borderId="10" xfId="0" applyFont="1" applyFill="1" applyBorder="1"/>
    <xf numFmtId="0" fontId="0" fillId="2" borderId="11" xfId="0" applyFill="1" applyBorder="1" applyAlignment="1">
      <alignment horizontal="left"/>
    </xf>
    <xf numFmtId="0" fontId="16" fillId="4" borderId="16" xfId="0" applyFont="1" applyFill="1" applyBorder="1"/>
    <xf numFmtId="0" fontId="0" fillId="4" borderId="17" xfId="0" applyFill="1" applyBorder="1" applyAlignment="1">
      <alignment horizontal="left"/>
    </xf>
    <xf numFmtId="0" fontId="18" fillId="9" borderId="21" xfId="0" applyFont="1" applyFill="1" applyBorder="1" applyAlignment="1">
      <alignment horizontal="center" vertical="center"/>
    </xf>
    <xf numFmtId="0" fontId="18" fillId="9" borderId="22" xfId="0" applyFont="1" applyFill="1" applyBorder="1" applyAlignment="1">
      <alignment horizontal="center" vertical="center"/>
    </xf>
    <xf numFmtId="0" fontId="18" fillId="9" borderId="23" xfId="0" applyFont="1" applyFill="1" applyBorder="1" applyAlignment="1">
      <alignment horizontal="center" vertical="center"/>
    </xf>
    <xf numFmtId="0" fontId="18" fillId="9" borderId="2" xfId="0" applyFont="1" applyFill="1" applyBorder="1" applyAlignment="1">
      <alignment horizontal="center" vertical="center"/>
    </xf>
    <xf numFmtId="0" fontId="0" fillId="4" borderId="0" xfId="0" applyFill="1" applyAlignment="1">
      <alignment shrinkToFit="1"/>
    </xf>
    <xf numFmtId="0" fontId="0" fillId="0" borderId="0" xfId="0" applyAlignment="1">
      <alignment horizontal="center"/>
    </xf>
    <xf numFmtId="0" fontId="16" fillId="4" borderId="10" xfId="0" applyFont="1" applyFill="1" applyBorder="1"/>
    <xf numFmtId="0" fontId="0" fillId="4" borderId="15" xfId="0" applyFill="1" applyBorder="1" applyAlignment="1">
      <alignment horizontal="center"/>
    </xf>
    <xf numFmtId="0" fontId="0" fillId="4" borderId="11" xfId="0" applyFill="1" applyBorder="1" applyAlignment="1">
      <alignment horizontal="center"/>
    </xf>
    <xf numFmtId="0" fontId="0" fillId="4" borderId="0" xfId="0" applyFill="1" applyAlignment="1">
      <alignment horizontal="center"/>
    </xf>
    <xf numFmtId="14" fontId="0" fillId="0" borderId="0" xfId="0" applyNumberFormat="1"/>
    <xf numFmtId="0" fontId="0" fillId="0" borderId="11" xfId="0" applyBorder="1"/>
    <xf numFmtId="0" fontId="0" fillId="0" borderId="13" xfId="0" applyBorder="1" applyAlignment="1">
      <alignment horizontal="left"/>
    </xf>
    <xf numFmtId="0" fontId="0" fillId="0" borderId="13" xfId="0" applyBorder="1"/>
    <xf numFmtId="14" fontId="0" fillId="0" borderId="13" xfId="0" applyNumberFormat="1" applyBorder="1"/>
    <xf numFmtId="3" fontId="0" fillId="0" borderId="13" xfId="0" applyNumberFormat="1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0" xfId="0" applyBorder="1" applyAlignment="1">
      <alignment horizontal="center"/>
    </xf>
    <xf numFmtId="3" fontId="0" fillId="0" borderId="0" xfId="0" applyNumberFormat="1" applyAlignment="1">
      <alignment horizontal="center"/>
    </xf>
    <xf numFmtId="0" fontId="18" fillId="9" borderId="24" xfId="0" applyFont="1" applyFill="1" applyBorder="1" applyAlignment="1">
      <alignment horizontal="left" vertical="center"/>
    </xf>
    <xf numFmtId="0" fontId="18" fillId="9" borderId="26" xfId="0" applyFont="1" applyFill="1" applyBorder="1" applyAlignment="1">
      <alignment horizontal="left" vertical="center"/>
    </xf>
    <xf numFmtId="0" fontId="18" fillId="9" borderId="28" xfId="0" applyFont="1" applyFill="1" applyBorder="1" applyAlignment="1">
      <alignment horizontal="left" vertical="center"/>
    </xf>
    <xf numFmtId="0" fontId="13" fillId="8" borderId="6" xfId="0" applyFont="1" applyFill="1" applyBorder="1" applyAlignment="1">
      <alignment vertical="top"/>
    </xf>
    <xf numFmtId="0" fontId="15" fillId="0" borderId="0" xfId="0" applyFont="1"/>
    <xf numFmtId="0" fontId="12" fillId="25" borderId="7" xfId="0" applyFont="1" applyFill="1" applyBorder="1" applyAlignment="1">
      <alignment horizontal="center" vertical="top"/>
    </xf>
    <xf numFmtId="0" fontId="18" fillId="9" borderId="38" xfId="0" applyFont="1" applyFill="1" applyBorder="1" applyAlignment="1">
      <alignment horizontal="center" vertical="center"/>
    </xf>
    <xf numFmtId="0" fontId="18" fillId="9" borderId="39" xfId="0" applyFont="1" applyFill="1" applyBorder="1" applyAlignment="1">
      <alignment horizontal="center" vertical="center"/>
    </xf>
    <xf numFmtId="0" fontId="12" fillId="25" borderId="41" xfId="0" applyFont="1" applyFill="1" applyBorder="1" applyAlignment="1">
      <alignment horizontal="center" vertical="top"/>
    </xf>
    <xf numFmtId="0" fontId="12" fillId="25" borderId="43" xfId="0" applyFont="1" applyFill="1" applyBorder="1" applyAlignment="1">
      <alignment horizontal="center" vertical="top"/>
    </xf>
    <xf numFmtId="0" fontId="12" fillId="25" borderId="44" xfId="0" applyFont="1" applyFill="1" applyBorder="1" applyAlignment="1">
      <alignment horizontal="center" vertical="top"/>
    </xf>
    <xf numFmtId="0" fontId="12" fillId="25" borderId="7" xfId="0" applyFont="1" applyFill="1" applyBorder="1" applyAlignment="1">
      <alignment horizontal="center" vertical="center"/>
    </xf>
    <xf numFmtId="0" fontId="12" fillId="25" borderId="41" xfId="0" applyFont="1" applyFill="1" applyBorder="1" applyAlignment="1">
      <alignment horizontal="center" vertical="center"/>
    </xf>
    <xf numFmtId="0" fontId="15" fillId="25" borderId="42" xfId="0" applyFont="1" applyFill="1" applyBorder="1" applyAlignment="1">
      <alignment horizontal="left" vertical="center" indent="3"/>
    </xf>
    <xf numFmtId="0" fontId="15" fillId="25" borderId="40" xfId="0" applyFont="1" applyFill="1" applyBorder="1" applyAlignment="1">
      <alignment horizontal="left" vertical="center" indent="3"/>
    </xf>
    <xf numFmtId="0" fontId="15" fillId="24" borderId="48" xfId="0" applyFont="1" applyFill="1" applyBorder="1" applyAlignment="1">
      <alignment vertical="center"/>
    </xf>
    <xf numFmtId="0" fontId="15" fillId="24" borderId="19" xfId="0" applyFont="1" applyFill="1" applyBorder="1" applyAlignment="1">
      <alignment vertical="center"/>
    </xf>
    <xf numFmtId="0" fontId="15" fillId="24" borderId="49" xfId="0" applyFont="1" applyFill="1" applyBorder="1" applyAlignment="1">
      <alignment vertical="center"/>
    </xf>
    <xf numFmtId="0" fontId="12" fillId="25" borderId="50" xfId="0" applyFont="1" applyFill="1" applyBorder="1" applyAlignment="1">
      <alignment vertical="top"/>
    </xf>
    <xf numFmtId="0" fontId="12" fillId="25" borderId="51" xfId="0" applyFont="1" applyFill="1" applyBorder="1" applyAlignment="1">
      <alignment vertical="top"/>
    </xf>
    <xf numFmtId="3" fontId="12" fillId="25" borderId="51" xfId="1" applyNumberFormat="1" applyFont="1" applyFill="1" applyBorder="1" applyAlignment="1">
      <alignment vertical="top"/>
    </xf>
    <xf numFmtId="38" fontId="12" fillId="25" borderId="51" xfId="1" applyNumberFormat="1" applyFont="1" applyFill="1" applyBorder="1" applyAlignment="1">
      <alignment vertical="top"/>
    </xf>
    <xf numFmtId="14" fontId="12" fillId="25" borderId="51" xfId="0" applyNumberFormat="1" applyFont="1" applyFill="1" applyBorder="1" applyAlignment="1">
      <alignment vertical="top"/>
    </xf>
    <xf numFmtId="0" fontId="12" fillId="25" borderId="52" xfId="0" applyFont="1" applyFill="1" applyBorder="1" applyAlignment="1">
      <alignment vertical="top"/>
    </xf>
    <xf numFmtId="0" fontId="12" fillId="25" borderId="40" xfId="0" applyFont="1" applyFill="1" applyBorder="1" applyAlignment="1">
      <alignment vertical="top"/>
    </xf>
    <xf numFmtId="0" fontId="12" fillId="25" borderId="7" xfId="0" applyFont="1" applyFill="1" applyBorder="1" applyAlignment="1">
      <alignment vertical="top"/>
    </xf>
    <xf numFmtId="3" fontId="12" fillId="25" borderId="7" xfId="1" applyNumberFormat="1" applyFont="1" applyFill="1" applyBorder="1" applyAlignment="1">
      <alignment vertical="top"/>
    </xf>
    <xf numFmtId="38" fontId="12" fillId="25" borderId="7" xfId="1" applyNumberFormat="1" applyFont="1" applyFill="1" applyBorder="1" applyAlignment="1">
      <alignment vertical="top"/>
    </xf>
    <xf numFmtId="14" fontId="12" fillId="25" borderId="7" xfId="0" applyNumberFormat="1" applyFont="1" applyFill="1" applyBorder="1" applyAlignment="1">
      <alignment vertical="top"/>
    </xf>
    <xf numFmtId="0" fontId="12" fillId="25" borderId="41" xfId="0" applyFont="1" applyFill="1" applyBorder="1" applyAlignment="1">
      <alignment vertical="top"/>
    </xf>
    <xf numFmtId="0" fontId="12" fillId="25" borderId="42" xfId="0" applyFont="1" applyFill="1" applyBorder="1" applyAlignment="1">
      <alignment vertical="top"/>
    </xf>
    <xf numFmtId="0" fontId="12" fillId="25" borderId="43" xfId="0" applyFont="1" applyFill="1" applyBorder="1" applyAlignment="1">
      <alignment vertical="top"/>
    </xf>
    <xf numFmtId="3" fontId="12" fillId="25" borderId="43" xfId="1" applyNumberFormat="1" applyFont="1" applyFill="1" applyBorder="1" applyAlignment="1">
      <alignment vertical="top"/>
    </xf>
    <xf numFmtId="38" fontId="12" fillId="25" borderId="43" xfId="1" applyNumberFormat="1" applyFont="1" applyFill="1" applyBorder="1" applyAlignment="1">
      <alignment vertical="top"/>
    </xf>
    <xf numFmtId="14" fontId="12" fillId="25" borderId="43" xfId="0" applyNumberFormat="1" applyFont="1" applyFill="1" applyBorder="1" applyAlignment="1">
      <alignment vertical="top"/>
    </xf>
    <xf numFmtId="0" fontId="12" fillId="25" borderId="44" xfId="0" applyFont="1" applyFill="1" applyBorder="1" applyAlignment="1">
      <alignment vertical="top"/>
    </xf>
    <xf numFmtId="0" fontId="18" fillId="9" borderId="55" xfId="0" applyFont="1" applyFill="1" applyBorder="1" applyAlignment="1">
      <alignment horizontal="center" vertical="center"/>
    </xf>
    <xf numFmtId="0" fontId="18" fillId="9" borderId="56" xfId="0" applyFont="1" applyFill="1" applyBorder="1" applyAlignment="1">
      <alignment horizontal="center" vertical="center"/>
    </xf>
    <xf numFmtId="0" fontId="12" fillId="25" borderId="50" xfId="0" applyFont="1" applyFill="1" applyBorder="1" applyAlignment="1">
      <alignment horizontal="center" vertical="top"/>
    </xf>
    <xf numFmtId="3" fontId="12" fillId="25" borderId="52" xfId="0" applyNumberFormat="1" applyFont="1" applyFill="1" applyBorder="1" applyAlignment="1">
      <alignment horizontal="center" vertical="top"/>
    </xf>
    <xf numFmtId="0" fontId="12" fillId="25" borderId="40" xfId="0" applyFont="1" applyFill="1" applyBorder="1" applyAlignment="1">
      <alignment horizontal="center" vertical="top"/>
    </xf>
    <xf numFmtId="3" fontId="12" fillId="25" borderId="41" xfId="0" applyNumberFormat="1" applyFont="1" applyFill="1" applyBorder="1" applyAlignment="1">
      <alignment horizontal="center" vertical="top"/>
    </xf>
    <xf numFmtId="0" fontId="0" fillId="25" borderId="40" xfId="0" applyFill="1" applyBorder="1" applyAlignment="1">
      <alignment horizontal="center"/>
    </xf>
    <xf numFmtId="0" fontId="0" fillId="25" borderId="41" xfId="0" applyFill="1" applyBorder="1" applyAlignment="1">
      <alignment horizontal="center"/>
    </xf>
    <xf numFmtId="0" fontId="0" fillId="25" borderId="40" xfId="0" applyFill="1" applyBorder="1"/>
    <xf numFmtId="0" fontId="0" fillId="25" borderId="41" xfId="0" applyFill="1" applyBorder="1"/>
    <xf numFmtId="0" fontId="0" fillId="25" borderId="42" xfId="0" applyFill="1" applyBorder="1"/>
    <xf numFmtId="0" fontId="0" fillId="25" borderId="44" xfId="0" applyFill="1" applyBorder="1"/>
    <xf numFmtId="0" fontId="0" fillId="0" borderId="9" xfId="0" applyBorder="1"/>
    <xf numFmtId="0" fontId="0" fillId="0" borderId="7" xfId="0" applyBorder="1" applyAlignment="1">
      <alignment horizontal="left"/>
    </xf>
    <xf numFmtId="0" fontId="0" fillId="0" borderId="12" xfId="0" applyBorder="1"/>
    <xf numFmtId="0" fontId="14" fillId="23" borderId="40" xfId="0" applyFont="1" applyFill="1" applyBorder="1"/>
    <xf numFmtId="0" fontId="18" fillId="9" borderId="7" xfId="0" applyFont="1" applyFill="1" applyBorder="1" applyAlignment="1">
      <alignment horizontal="center" vertical="center"/>
    </xf>
    <xf numFmtId="0" fontId="18" fillId="9" borderId="41" xfId="0" applyFont="1" applyFill="1" applyBorder="1" applyAlignment="1">
      <alignment horizontal="center" vertical="center"/>
    </xf>
    <xf numFmtId="0" fontId="0" fillId="0" borderId="7" xfId="0" applyBorder="1"/>
    <xf numFmtId="0" fontId="18" fillId="9" borderId="36" xfId="0" applyFont="1" applyFill="1" applyBorder="1" applyAlignment="1">
      <alignment horizontal="center" vertical="center"/>
    </xf>
    <xf numFmtId="0" fontId="0" fillId="0" borderId="40" xfId="0" applyBorder="1"/>
    <xf numFmtId="0" fontId="0" fillId="0" borderId="41" xfId="0" applyBorder="1"/>
    <xf numFmtId="0" fontId="18" fillId="9" borderId="57" xfId="0" applyFont="1" applyFill="1" applyBorder="1" applyAlignment="1">
      <alignment horizontal="center" vertical="center"/>
    </xf>
    <xf numFmtId="0" fontId="12" fillId="25" borderId="58" xfId="0" applyFont="1" applyFill="1" applyBorder="1" applyAlignment="1">
      <alignment vertical="top" shrinkToFit="1"/>
    </xf>
    <xf numFmtId="0" fontId="12" fillId="25" borderId="60" xfId="0" applyFont="1" applyFill="1" applyBorder="1" applyAlignment="1">
      <alignment vertical="top"/>
    </xf>
    <xf numFmtId="0" fontId="18" fillId="9" borderId="61" xfId="0" applyFont="1" applyFill="1" applyBorder="1" applyAlignment="1">
      <alignment horizontal="center" vertical="center"/>
    </xf>
    <xf numFmtId="37" fontId="12" fillId="25" borderId="54" xfId="1" applyNumberFormat="1" applyFont="1" applyFill="1" applyBorder="1" applyAlignment="1">
      <alignment horizontal="left" indent="1"/>
    </xf>
    <xf numFmtId="0" fontId="12" fillId="25" borderId="62" xfId="0" applyFont="1" applyFill="1" applyBorder="1" applyAlignment="1">
      <alignment horizontal="left" indent="1"/>
    </xf>
    <xf numFmtId="0" fontId="12" fillId="25" borderId="60" xfId="0" applyFont="1" applyFill="1" applyBorder="1" applyAlignment="1">
      <alignment horizontal="left" indent="1"/>
    </xf>
    <xf numFmtId="14" fontId="0" fillId="2" borderId="14" xfId="0" applyNumberFormat="1" applyFill="1" applyBorder="1"/>
    <xf numFmtId="0" fontId="0" fillId="2" borderId="63" xfId="0" applyFill="1" applyBorder="1"/>
    <xf numFmtId="0" fontId="0" fillId="2" borderId="64" xfId="0" applyFill="1" applyBorder="1"/>
    <xf numFmtId="0" fontId="18" fillId="9" borderId="58" xfId="0" applyFont="1" applyFill="1" applyBorder="1" applyAlignment="1">
      <alignment horizontal="center" vertical="center"/>
    </xf>
    <xf numFmtId="14" fontId="0" fillId="25" borderId="50" xfId="0" applyNumberFormat="1" applyFill="1" applyBorder="1" applyAlignment="1">
      <alignment horizontal="center"/>
    </xf>
    <xf numFmtId="44" fontId="0" fillId="25" borderId="51" xfId="2" applyFont="1" applyFill="1" applyBorder="1" applyAlignment="1">
      <alignment horizontal="center"/>
    </xf>
    <xf numFmtId="44" fontId="0" fillId="25" borderId="52" xfId="2" applyFont="1" applyFill="1" applyBorder="1" applyAlignment="1">
      <alignment horizontal="center"/>
    </xf>
    <xf numFmtId="14" fontId="0" fillId="25" borderId="40" xfId="0" applyNumberFormat="1" applyFill="1" applyBorder="1" applyAlignment="1">
      <alignment horizontal="center"/>
    </xf>
    <xf numFmtId="44" fontId="0" fillId="25" borderId="7" xfId="2" applyFont="1" applyFill="1" applyBorder="1"/>
    <xf numFmtId="44" fontId="0" fillId="25" borderId="41" xfId="2" applyFont="1" applyFill="1" applyBorder="1"/>
    <xf numFmtId="14" fontId="0" fillId="25" borderId="42" xfId="0" applyNumberFormat="1" applyFill="1" applyBorder="1" applyAlignment="1">
      <alignment horizontal="center"/>
    </xf>
    <xf numFmtId="44" fontId="0" fillId="25" borderId="43" xfId="2" applyFont="1" applyFill="1" applyBorder="1"/>
    <xf numFmtId="44" fontId="0" fillId="25" borderId="44" xfId="2" applyFont="1" applyFill="1" applyBorder="1"/>
    <xf numFmtId="0" fontId="15" fillId="0" borderId="0" xfId="0" applyFont="1" applyAlignment="1">
      <alignment horizontal="center"/>
    </xf>
    <xf numFmtId="0" fontId="0" fillId="0" borderId="66" xfId="0" applyBorder="1"/>
    <xf numFmtId="0" fontId="0" fillId="0" borderId="67" xfId="0" applyBorder="1"/>
    <xf numFmtId="3" fontId="0" fillId="25" borderId="69" xfId="0" applyNumberFormat="1" applyFill="1" applyBorder="1" applyAlignment="1">
      <alignment horizontal="center"/>
    </xf>
    <xf numFmtId="3" fontId="0" fillId="25" borderId="41" xfId="0" applyNumberFormat="1" applyFill="1" applyBorder="1" applyAlignment="1">
      <alignment horizontal="center"/>
    </xf>
    <xf numFmtId="3" fontId="0" fillId="25" borderId="44" xfId="0" applyNumberFormat="1" applyFill="1" applyBorder="1" applyAlignment="1">
      <alignment horizontal="center"/>
    </xf>
    <xf numFmtId="0" fontId="20" fillId="0" borderId="0" xfId="0" applyFont="1"/>
    <xf numFmtId="0" fontId="12" fillId="22" borderId="25" xfId="0" applyFont="1" applyFill="1" applyBorder="1" applyAlignment="1">
      <alignment horizontal="left" vertical="top"/>
    </xf>
    <xf numFmtId="0" fontId="12" fillId="22" borderId="27" xfId="0" applyFont="1" applyFill="1" applyBorder="1" applyAlignment="1">
      <alignment horizontal="left" vertical="top"/>
    </xf>
    <xf numFmtId="0" fontId="12" fillId="22" borderId="29" xfId="0" applyFont="1" applyFill="1" applyBorder="1" applyAlignment="1">
      <alignment horizontal="left" vertical="top"/>
    </xf>
    <xf numFmtId="3" fontId="12" fillId="22" borderId="25" xfId="0" applyNumberFormat="1" applyFont="1" applyFill="1" applyBorder="1" applyAlignment="1">
      <alignment horizontal="left" vertical="top"/>
    </xf>
    <xf numFmtId="3" fontId="12" fillId="22" borderId="27" xfId="0" applyNumberFormat="1" applyFont="1" applyFill="1" applyBorder="1" applyAlignment="1">
      <alignment horizontal="left" vertical="top"/>
    </xf>
    <xf numFmtId="3" fontId="12" fillId="22" borderId="29" xfId="0" applyNumberFormat="1" applyFont="1" applyFill="1" applyBorder="1" applyAlignment="1">
      <alignment horizontal="left" vertical="top"/>
    </xf>
    <xf numFmtId="0" fontId="18" fillId="9" borderId="57" xfId="0" applyFont="1" applyFill="1" applyBorder="1" applyAlignment="1">
      <alignment horizontal="left" vertical="center" indent="1"/>
    </xf>
    <xf numFmtId="0" fontId="18" fillId="9" borderId="59" xfId="0" applyFont="1" applyFill="1" applyBorder="1" applyAlignment="1">
      <alignment horizontal="left" vertical="center" indent="1"/>
    </xf>
    <xf numFmtId="0" fontId="18" fillId="9" borderId="61" xfId="0" applyFont="1" applyFill="1" applyBorder="1" applyAlignment="1">
      <alignment horizontal="left" vertical="center" indent="1"/>
    </xf>
    <xf numFmtId="0" fontId="18" fillId="9" borderId="55" xfId="0" applyFont="1" applyFill="1" applyBorder="1" applyAlignment="1">
      <alignment horizontal="left" vertical="center" indent="1"/>
    </xf>
    <xf numFmtId="0" fontId="21" fillId="0" borderId="0" xfId="0" applyFont="1"/>
    <xf numFmtId="0" fontId="18" fillId="9" borderId="5" xfId="0" applyFont="1" applyFill="1" applyBorder="1" applyAlignment="1">
      <alignment horizontal="center" vertical="center"/>
    </xf>
    <xf numFmtId="0" fontId="19" fillId="9" borderId="2" xfId="0" applyFont="1" applyFill="1" applyBorder="1" applyAlignment="1">
      <alignment horizontal="center" vertical="center"/>
    </xf>
    <xf numFmtId="0" fontId="22" fillId="0" borderId="0" xfId="0" applyFont="1" applyAlignment="1">
      <alignment horizontal="center"/>
    </xf>
    <xf numFmtId="0" fontId="22" fillId="0" borderId="16" xfId="0" applyFont="1" applyBorder="1" applyAlignment="1">
      <alignment horizontal="center"/>
    </xf>
    <xf numFmtId="0" fontId="22" fillId="0" borderId="18" xfId="0" applyFont="1" applyBorder="1" applyAlignment="1">
      <alignment horizontal="center"/>
    </xf>
    <xf numFmtId="0" fontId="22" fillId="7" borderId="15" xfId="0" applyFont="1" applyFill="1" applyBorder="1" applyAlignment="1">
      <alignment horizontal="center"/>
    </xf>
    <xf numFmtId="0" fontId="22" fillId="6" borderId="15" xfId="0" applyFont="1" applyFill="1" applyBorder="1" applyAlignment="1">
      <alignment horizontal="center"/>
    </xf>
    <xf numFmtId="0" fontId="22" fillId="0" borderId="15" xfId="0" applyFont="1" applyBorder="1" applyAlignment="1">
      <alignment horizontal="center"/>
    </xf>
    <xf numFmtId="0" fontId="12" fillId="25" borderId="2" xfId="0" applyFont="1" applyFill="1" applyBorder="1" applyAlignment="1">
      <alignment vertical="top"/>
    </xf>
    <xf numFmtId="10" fontId="12" fillId="25" borderId="2" xfId="3" applyNumberFormat="1" applyFont="1" applyFill="1" applyBorder="1" applyAlignment="1">
      <alignment vertical="top"/>
    </xf>
    <xf numFmtId="166" fontId="12" fillId="25" borderId="2" xfId="3" applyNumberFormat="1" applyFont="1" applyFill="1" applyBorder="1" applyAlignment="1">
      <alignment vertical="top"/>
    </xf>
    <xf numFmtId="3" fontId="12" fillId="25" borderId="2" xfId="3" applyNumberFormat="1" applyFont="1" applyFill="1" applyBorder="1" applyAlignment="1">
      <alignment vertical="top"/>
    </xf>
    <xf numFmtId="168" fontId="12" fillId="25" borderId="2" xfId="3" applyNumberFormat="1" applyFont="1" applyFill="1" applyBorder="1" applyAlignment="1">
      <alignment vertical="top"/>
    </xf>
    <xf numFmtId="0" fontId="12" fillId="25" borderId="4" xfId="0" applyFont="1" applyFill="1" applyBorder="1" applyAlignment="1">
      <alignment vertical="top"/>
    </xf>
    <xf numFmtId="168" fontId="12" fillId="25" borderId="3" xfId="0" applyNumberFormat="1" applyFont="1" applyFill="1" applyBorder="1" applyAlignment="1">
      <alignment vertical="top"/>
    </xf>
    <xf numFmtId="168" fontId="0" fillId="7" borderId="19" xfId="0" applyNumberFormat="1" applyFill="1" applyBorder="1" applyAlignment="1">
      <alignment horizontal="center"/>
    </xf>
    <xf numFmtId="0" fontId="0" fillId="6" borderId="9" xfId="0" applyFill="1" applyBorder="1" applyAlignment="1">
      <alignment horizontal="center"/>
    </xf>
    <xf numFmtId="14" fontId="0" fillId="6" borderId="12" xfId="0" applyNumberFormat="1" applyFill="1" applyBorder="1" applyAlignment="1">
      <alignment horizontal="center"/>
    </xf>
    <xf numFmtId="173" fontId="12" fillId="25" borderId="2" xfId="0" applyNumberFormat="1" applyFont="1" applyFill="1" applyBorder="1" applyAlignment="1">
      <alignment vertical="top"/>
    </xf>
    <xf numFmtId="164" fontId="12" fillId="25" borderId="4" xfId="3" applyNumberFormat="1" applyFont="1" applyFill="1" applyBorder="1" applyAlignment="1">
      <alignment vertical="top"/>
    </xf>
    <xf numFmtId="176" fontId="12" fillId="25" borderId="3" xfId="2" applyNumberFormat="1" applyFont="1" applyFill="1" applyBorder="1" applyAlignment="1">
      <alignment vertical="top"/>
    </xf>
    <xf numFmtId="167" fontId="0" fillId="0" borderId="19" xfId="0" applyNumberFormat="1" applyBorder="1" applyAlignment="1">
      <alignment horizontal="center"/>
    </xf>
    <xf numFmtId="176" fontId="12" fillId="25" borderId="2" xfId="2" applyNumberFormat="1" applyFont="1" applyFill="1" applyBorder="1" applyAlignment="1">
      <alignment vertical="top"/>
    </xf>
    <xf numFmtId="167" fontId="12" fillId="25" borderId="2" xfId="0" applyNumberFormat="1" applyFont="1" applyFill="1" applyBorder="1" applyAlignment="1">
      <alignment vertical="top"/>
    </xf>
    <xf numFmtId="164" fontId="12" fillId="25" borderId="2" xfId="0" applyNumberFormat="1" applyFont="1" applyFill="1" applyBorder="1" applyAlignment="1">
      <alignment vertical="top"/>
    </xf>
    <xf numFmtId="168" fontId="0" fillId="4" borderId="15" xfId="0" applyNumberFormat="1" applyFill="1" applyBorder="1" applyAlignment="1">
      <alignment horizontal="center"/>
    </xf>
    <xf numFmtId="168" fontId="0" fillId="4" borderId="7" xfId="0" applyNumberFormat="1" applyFill="1" applyBorder="1" applyAlignment="1">
      <alignment horizontal="center"/>
    </xf>
    <xf numFmtId="0" fontId="0" fillId="0" borderId="0" xfId="0" quotePrefix="1" applyAlignment="1">
      <alignment horizontal="center"/>
    </xf>
    <xf numFmtId="0" fontId="13" fillId="26" borderId="2" xfId="0" applyFont="1" applyFill="1" applyBorder="1" applyAlignment="1">
      <alignment vertical="top"/>
    </xf>
    <xf numFmtId="0" fontId="23" fillId="0" borderId="0" xfId="0" applyFont="1"/>
    <xf numFmtId="0" fontId="16" fillId="7" borderId="35" xfId="0" applyFont="1" applyFill="1" applyBorder="1" applyAlignment="1">
      <alignment horizontal="center" vertical="center"/>
    </xf>
    <xf numFmtId="0" fontId="16" fillId="7" borderId="46" xfId="0" applyFont="1" applyFill="1" applyBorder="1" applyAlignment="1">
      <alignment horizontal="center" vertical="center"/>
    </xf>
    <xf numFmtId="0" fontId="16" fillId="7" borderId="46" xfId="0" applyFont="1" applyFill="1" applyBorder="1" applyAlignment="1">
      <alignment vertical="center"/>
    </xf>
    <xf numFmtId="0" fontId="16" fillId="7" borderId="71" xfId="0" applyFont="1" applyFill="1" applyBorder="1" applyAlignment="1">
      <alignment vertical="center"/>
    </xf>
    <xf numFmtId="0" fontId="0" fillId="0" borderId="0" xfId="0" applyAlignment="1">
      <alignment vertical="center"/>
    </xf>
    <xf numFmtId="0" fontId="19" fillId="9" borderId="56" xfId="0" applyFont="1" applyFill="1" applyBorder="1" applyAlignment="1">
      <alignment horizontal="center" vertical="center"/>
    </xf>
    <xf numFmtId="0" fontId="22" fillId="0" borderId="66" xfId="0" applyFont="1" applyBorder="1" applyAlignment="1">
      <alignment horizontal="center"/>
    </xf>
    <xf numFmtId="0" fontId="22" fillId="0" borderId="10" xfId="0" applyFont="1" applyBorder="1" applyAlignment="1">
      <alignment horizontal="center"/>
    </xf>
    <xf numFmtId="0" fontId="22" fillId="0" borderId="17" xfId="0" applyFont="1" applyBorder="1" applyAlignment="1">
      <alignment horizontal="center"/>
    </xf>
    <xf numFmtId="0" fontId="22" fillId="0" borderId="72" xfId="0" applyFont="1" applyBorder="1" applyAlignment="1">
      <alignment horizontal="center"/>
    </xf>
    <xf numFmtId="0" fontId="12" fillId="25" borderId="55" xfId="0" applyFont="1" applyFill="1" applyBorder="1" applyAlignment="1">
      <alignment vertical="top"/>
    </xf>
    <xf numFmtId="168" fontId="12" fillId="25" borderId="2" xfId="0" applyNumberFormat="1" applyFont="1" applyFill="1" applyBorder="1" applyAlignment="1">
      <alignment vertical="top"/>
    </xf>
    <xf numFmtId="44" fontId="12" fillId="25" borderId="2" xfId="0" applyNumberFormat="1" applyFont="1" applyFill="1" applyBorder="1" applyAlignment="1">
      <alignment vertical="top"/>
    </xf>
    <xf numFmtId="164" fontId="12" fillId="25" borderId="2" xfId="3" applyNumberFormat="1" applyFont="1" applyFill="1" applyBorder="1" applyAlignment="1">
      <alignment vertical="top"/>
    </xf>
    <xf numFmtId="175" fontId="12" fillId="25" borderId="2" xfId="2" applyNumberFormat="1" applyFont="1" applyFill="1" applyBorder="1" applyAlignment="1">
      <alignment vertical="top"/>
    </xf>
    <xf numFmtId="172" fontId="12" fillId="25" borderId="2" xfId="3" applyNumberFormat="1" applyFont="1" applyFill="1" applyBorder="1" applyAlignment="1">
      <alignment vertical="top"/>
    </xf>
    <xf numFmtId="174" fontId="12" fillId="25" borderId="2" xfId="2" applyNumberFormat="1" applyFont="1" applyFill="1" applyBorder="1" applyAlignment="1">
      <alignment vertical="top"/>
    </xf>
    <xf numFmtId="169" fontId="12" fillId="25" borderId="2" xfId="0" applyNumberFormat="1" applyFont="1" applyFill="1" applyBorder="1" applyAlignment="1">
      <alignment vertical="top"/>
    </xf>
    <xf numFmtId="14" fontId="12" fillId="25" borderId="2" xfId="0" applyNumberFormat="1" applyFont="1" applyFill="1" applyBorder="1" applyAlignment="1">
      <alignment vertical="top"/>
    </xf>
    <xf numFmtId="170" fontId="12" fillId="25" borderId="2" xfId="0" applyNumberFormat="1" applyFont="1" applyFill="1" applyBorder="1" applyAlignment="1">
      <alignment vertical="top"/>
    </xf>
    <xf numFmtId="171" fontId="12" fillId="25" borderId="2" xfId="0" applyNumberFormat="1" applyFont="1" applyFill="1" applyBorder="1" applyAlignment="1">
      <alignment vertical="top"/>
    </xf>
    <xf numFmtId="164" fontId="12" fillId="25" borderId="56" xfId="0" applyNumberFormat="1" applyFont="1" applyFill="1" applyBorder="1" applyAlignment="1">
      <alignment vertical="top"/>
    </xf>
    <xf numFmtId="0" fontId="12" fillId="25" borderId="59" xfId="0" applyFont="1" applyFill="1" applyBorder="1" applyAlignment="1">
      <alignment vertical="top"/>
    </xf>
    <xf numFmtId="0" fontId="12" fillId="25" borderId="73" xfId="0" applyFont="1" applyFill="1" applyBorder="1" applyAlignment="1">
      <alignment vertical="top"/>
    </xf>
    <xf numFmtId="10" fontId="12" fillId="25" borderId="73" xfId="3" applyNumberFormat="1" applyFont="1" applyFill="1" applyBorder="1" applyAlignment="1">
      <alignment vertical="top"/>
    </xf>
    <xf numFmtId="166" fontId="12" fillId="25" borderId="73" xfId="3" applyNumberFormat="1" applyFont="1" applyFill="1" applyBorder="1" applyAlignment="1">
      <alignment vertical="top"/>
    </xf>
    <xf numFmtId="3" fontId="12" fillId="25" borderId="73" xfId="3" applyNumberFormat="1" applyFont="1" applyFill="1" applyBorder="1" applyAlignment="1">
      <alignment vertical="top"/>
    </xf>
    <xf numFmtId="168" fontId="12" fillId="25" borderId="73" xfId="3" applyNumberFormat="1" applyFont="1" applyFill="1" applyBorder="1" applyAlignment="1">
      <alignment vertical="top"/>
    </xf>
    <xf numFmtId="0" fontId="13" fillId="26" borderId="73" xfId="0" applyFont="1" applyFill="1" applyBorder="1" applyAlignment="1">
      <alignment vertical="top"/>
    </xf>
    <xf numFmtId="168" fontId="12" fillId="25" borderId="73" xfId="0" applyNumberFormat="1" applyFont="1" applyFill="1" applyBorder="1" applyAlignment="1">
      <alignment vertical="top"/>
    </xf>
    <xf numFmtId="168" fontId="0" fillId="7" borderId="74" xfId="0" applyNumberFormat="1" applyFill="1" applyBorder="1" applyAlignment="1">
      <alignment horizontal="center"/>
    </xf>
    <xf numFmtId="0" fontId="0" fillId="6" borderId="75" xfId="0" applyFill="1" applyBorder="1" applyAlignment="1">
      <alignment horizontal="center"/>
    </xf>
    <xf numFmtId="14" fontId="0" fillId="6" borderId="76" xfId="0" applyNumberFormat="1" applyFill="1" applyBorder="1" applyAlignment="1">
      <alignment horizontal="center"/>
    </xf>
    <xf numFmtId="44" fontId="12" fillId="25" borderId="73" xfId="0" applyNumberFormat="1" applyFont="1" applyFill="1" applyBorder="1" applyAlignment="1">
      <alignment vertical="top"/>
    </xf>
    <xf numFmtId="164" fontId="12" fillId="25" borderId="73" xfId="3" applyNumberFormat="1" applyFont="1" applyFill="1" applyBorder="1" applyAlignment="1">
      <alignment vertical="top"/>
    </xf>
    <xf numFmtId="175" fontId="12" fillId="25" borderId="73" xfId="2" applyNumberFormat="1" applyFont="1" applyFill="1" applyBorder="1" applyAlignment="1">
      <alignment vertical="top"/>
    </xf>
    <xf numFmtId="167" fontId="0" fillId="0" borderId="74" xfId="0" applyNumberFormat="1" applyBorder="1" applyAlignment="1">
      <alignment horizontal="center"/>
    </xf>
    <xf numFmtId="172" fontId="12" fillId="25" borderId="73" xfId="3" applyNumberFormat="1" applyFont="1" applyFill="1" applyBorder="1" applyAlignment="1">
      <alignment vertical="top"/>
    </xf>
    <xf numFmtId="174" fontId="12" fillId="25" borderId="73" xfId="2" applyNumberFormat="1" applyFont="1" applyFill="1" applyBorder="1" applyAlignment="1">
      <alignment vertical="top"/>
    </xf>
    <xf numFmtId="169" fontId="12" fillId="25" borderId="73" xfId="0" applyNumberFormat="1" applyFont="1" applyFill="1" applyBorder="1" applyAlignment="1">
      <alignment vertical="top"/>
    </xf>
    <xf numFmtId="14" fontId="12" fillId="25" borderId="73" xfId="0" applyNumberFormat="1" applyFont="1" applyFill="1" applyBorder="1" applyAlignment="1">
      <alignment vertical="top"/>
    </xf>
    <xf numFmtId="170" fontId="12" fillId="25" borderId="73" xfId="0" applyNumberFormat="1" applyFont="1" applyFill="1" applyBorder="1" applyAlignment="1">
      <alignment vertical="top"/>
    </xf>
    <xf numFmtId="171" fontId="12" fillId="25" borderId="73" xfId="0" applyNumberFormat="1" applyFont="1" applyFill="1" applyBorder="1" applyAlignment="1">
      <alignment vertical="top"/>
    </xf>
    <xf numFmtId="164" fontId="12" fillId="25" borderId="73" xfId="0" applyNumberFormat="1" applyFont="1" applyFill="1" applyBorder="1" applyAlignment="1">
      <alignment vertical="top"/>
    </xf>
    <xf numFmtId="164" fontId="12" fillId="25" borderId="77" xfId="0" applyNumberFormat="1" applyFont="1" applyFill="1" applyBorder="1" applyAlignment="1">
      <alignment vertical="top"/>
    </xf>
    <xf numFmtId="170" fontId="0" fillId="0" borderId="0" xfId="0" applyNumberFormat="1"/>
    <xf numFmtId="171" fontId="0" fillId="0" borderId="0" xfId="0" applyNumberFormat="1" applyAlignment="1">
      <alignment horizontal="center"/>
    </xf>
    <xf numFmtId="0" fontId="12" fillId="25" borderId="79" xfId="0" applyFont="1" applyFill="1" applyBorder="1" applyAlignment="1">
      <alignment vertical="top"/>
    </xf>
    <xf numFmtId="168" fontId="12" fillId="25" borderId="80" xfId="0" applyNumberFormat="1" applyFont="1" applyFill="1" applyBorder="1" applyAlignment="1">
      <alignment vertical="top"/>
    </xf>
    <xf numFmtId="173" fontId="12" fillId="25" borderId="73" xfId="0" applyNumberFormat="1" applyFont="1" applyFill="1" applyBorder="1" applyAlignment="1">
      <alignment vertical="top"/>
    </xf>
    <xf numFmtId="164" fontId="12" fillId="25" borderId="79" xfId="3" applyNumberFormat="1" applyFont="1" applyFill="1" applyBorder="1" applyAlignment="1">
      <alignment vertical="top"/>
    </xf>
    <xf numFmtId="176" fontId="12" fillId="25" borderId="80" xfId="2" applyNumberFormat="1" applyFont="1" applyFill="1" applyBorder="1" applyAlignment="1">
      <alignment vertical="top"/>
    </xf>
    <xf numFmtId="176" fontId="12" fillId="25" borderId="73" xfId="2" applyNumberFormat="1" applyFont="1" applyFill="1" applyBorder="1" applyAlignment="1">
      <alignment vertical="top"/>
    </xf>
    <xf numFmtId="167" fontId="12" fillId="25" borderId="73" xfId="0" applyNumberFormat="1" applyFont="1" applyFill="1" applyBorder="1" applyAlignment="1">
      <alignment vertical="top"/>
    </xf>
    <xf numFmtId="0" fontId="18" fillId="9" borderId="82" xfId="0" applyFont="1" applyFill="1" applyBorder="1" applyAlignment="1">
      <alignment horizontal="center" vertical="center"/>
    </xf>
    <xf numFmtId="0" fontId="22" fillId="4" borderId="66" xfId="0" applyFont="1" applyFill="1" applyBorder="1"/>
    <xf numFmtId="0" fontId="22" fillId="4" borderId="0" xfId="0" applyFont="1" applyFill="1"/>
    <xf numFmtId="0" fontId="22" fillId="4" borderId="0" xfId="0" applyFont="1" applyFill="1" applyAlignment="1">
      <alignment horizontal="center"/>
    </xf>
    <xf numFmtId="0" fontId="22" fillId="5" borderId="0" xfId="0" applyFont="1" applyFill="1" applyAlignment="1">
      <alignment horizontal="center"/>
    </xf>
    <xf numFmtId="0" fontId="22" fillId="4" borderId="67" xfId="0" applyFont="1" applyFill="1" applyBorder="1"/>
    <xf numFmtId="0" fontId="13" fillId="26" borderId="26" xfId="0" applyFont="1" applyFill="1" applyBorder="1" applyAlignment="1">
      <alignment vertical="top"/>
    </xf>
    <xf numFmtId="14" fontId="13" fillId="26" borderId="3" xfId="0" applyNumberFormat="1" applyFont="1" applyFill="1" applyBorder="1" applyAlignment="1">
      <alignment vertical="top"/>
    </xf>
    <xf numFmtId="0" fontId="0" fillId="5" borderId="19" xfId="0" applyFill="1" applyBorder="1" applyAlignment="1">
      <alignment horizontal="center"/>
    </xf>
    <xf numFmtId="4" fontId="13" fillId="26" borderId="3" xfId="0" applyNumberFormat="1" applyFont="1" applyFill="1" applyBorder="1" applyAlignment="1">
      <alignment vertical="top"/>
    </xf>
    <xf numFmtId="4" fontId="0" fillId="5" borderId="19" xfId="0" applyNumberFormat="1" applyFill="1" applyBorder="1" applyAlignment="1">
      <alignment horizontal="center"/>
    </xf>
    <xf numFmtId="172" fontId="13" fillId="26" borderId="3" xfId="0" applyNumberFormat="1" applyFont="1" applyFill="1" applyBorder="1" applyAlignment="1">
      <alignment vertical="top"/>
    </xf>
    <xf numFmtId="0" fontId="0" fillId="5" borderId="9" xfId="0" applyFill="1" applyBorder="1" applyAlignment="1">
      <alignment horizontal="center"/>
    </xf>
    <xf numFmtId="0" fontId="0" fillId="5" borderId="7" xfId="0" applyFill="1" applyBorder="1" applyAlignment="1">
      <alignment horizontal="center"/>
    </xf>
    <xf numFmtId="0" fontId="0" fillId="5" borderId="12" xfId="0" applyFill="1" applyBorder="1" applyAlignment="1">
      <alignment horizontal="center"/>
    </xf>
    <xf numFmtId="0" fontId="13" fillId="26" borderId="28" xfId="0" applyFont="1" applyFill="1" applyBorder="1" applyAlignment="1">
      <alignment vertical="top"/>
    </xf>
    <xf numFmtId="14" fontId="13" fillId="26" borderId="80" xfId="0" applyNumberFormat="1" applyFont="1" applyFill="1" applyBorder="1" applyAlignment="1">
      <alignment vertical="top"/>
    </xf>
    <xf numFmtId="0" fontId="0" fillId="5" borderId="74" xfId="0" applyFill="1" applyBorder="1" applyAlignment="1">
      <alignment horizontal="center"/>
    </xf>
    <xf numFmtId="4" fontId="13" fillId="26" borderId="80" xfId="0" applyNumberFormat="1" applyFont="1" applyFill="1" applyBorder="1" applyAlignment="1">
      <alignment vertical="top"/>
    </xf>
    <xf numFmtId="4" fontId="0" fillId="5" borderId="74" xfId="0" applyNumberFormat="1" applyFill="1" applyBorder="1" applyAlignment="1">
      <alignment horizontal="center"/>
    </xf>
    <xf numFmtId="172" fontId="13" fillId="26" borderId="80" xfId="0" applyNumberFormat="1" applyFont="1" applyFill="1" applyBorder="1" applyAlignment="1">
      <alignment vertical="top"/>
    </xf>
    <xf numFmtId="0" fontId="0" fillId="5" borderId="75" xfId="0" applyFill="1" applyBorder="1" applyAlignment="1">
      <alignment horizontal="center"/>
    </xf>
    <xf numFmtId="0" fontId="0" fillId="5" borderId="43" xfId="0" applyFill="1" applyBorder="1" applyAlignment="1">
      <alignment horizontal="center"/>
    </xf>
    <xf numFmtId="0" fontId="0" fillId="5" borderId="76" xfId="0" applyFill="1" applyBorder="1" applyAlignment="1">
      <alignment horizontal="center"/>
    </xf>
    <xf numFmtId="0" fontId="18" fillId="9" borderId="31" xfId="0" applyFont="1" applyFill="1" applyBorder="1" applyAlignment="1">
      <alignment horizontal="center" vertical="center"/>
    </xf>
    <xf numFmtId="0" fontId="13" fillId="8" borderId="81" xfId="0" applyFont="1" applyFill="1" applyBorder="1" applyAlignment="1">
      <alignment vertical="top"/>
    </xf>
    <xf numFmtId="4" fontId="12" fillId="25" borderId="2" xfId="1" applyNumberFormat="1" applyFont="1" applyFill="1" applyBorder="1" applyAlignment="1">
      <alignment vertical="top"/>
    </xf>
    <xf numFmtId="4" fontId="12" fillId="25" borderId="73" xfId="1" applyNumberFormat="1" applyFont="1" applyFill="1" applyBorder="1" applyAlignment="1">
      <alignment vertical="top"/>
    </xf>
    <xf numFmtId="172" fontId="12" fillId="25" borderId="2" xfId="0" applyNumberFormat="1" applyFont="1" applyFill="1" applyBorder="1" applyAlignment="1">
      <alignment vertical="top"/>
    </xf>
    <xf numFmtId="166" fontId="12" fillId="25" borderId="2" xfId="0" applyNumberFormat="1" applyFont="1" applyFill="1" applyBorder="1" applyAlignment="1">
      <alignment vertical="top"/>
    </xf>
    <xf numFmtId="3" fontId="12" fillId="25" borderId="2" xfId="0" applyNumberFormat="1" applyFont="1" applyFill="1" applyBorder="1" applyAlignment="1">
      <alignment vertical="top"/>
    </xf>
    <xf numFmtId="43" fontId="12" fillId="25" borderId="2" xfId="1" applyFont="1" applyFill="1" applyBorder="1" applyAlignment="1">
      <alignment vertical="top"/>
    </xf>
    <xf numFmtId="0" fontId="12" fillId="25" borderId="56" xfId="0" applyFont="1" applyFill="1" applyBorder="1" applyAlignment="1">
      <alignment vertical="top"/>
    </xf>
    <xf numFmtId="172" fontId="12" fillId="25" borderId="73" xfId="0" applyNumberFormat="1" applyFont="1" applyFill="1" applyBorder="1" applyAlignment="1">
      <alignment vertical="top"/>
    </xf>
    <xf numFmtId="166" fontId="12" fillId="25" borderId="73" xfId="0" applyNumberFormat="1" applyFont="1" applyFill="1" applyBorder="1" applyAlignment="1">
      <alignment vertical="top"/>
    </xf>
    <xf numFmtId="3" fontId="12" fillId="25" borderId="73" xfId="0" applyNumberFormat="1" applyFont="1" applyFill="1" applyBorder="1" applyAlignment="1">
      <alignment vertical="top"/>
    </xf>
    <xf numFmtId="43" fontId="12" fillId="25" borderId="73" xfId="1" applyFont="1" applyFill="1" applyBorder="1" applyAlignment="1">
      <alignment vertical="top"/>
    </xf>
    <xf numFmtId="0" fontId="12" fillId="25" borderId="77" xfId="0" applyFont="1" applyFill="1" applyBorder="1" applyAlignment="1">
      <alignment vertical="top"/>
    </xf>
    <xf numFmtId="0" fontId="13" fillId="8" borderId="38" xfId="0" applyFont="1" applyFill="1" applyBorder="1" applyAlignment="1">
      <alignment vertical="top"/>
    </xf>
    <xf numFmtId="0" fontId="0" fillId="0" borderId="18" xfId="0" applyBorder="1"/>
    <xf numFmtId="0" fontId="0" fillId="0" borderId="53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8" xfId="0" applyBorder="1" applyAlignment="1">
      <alignment horizontal="center"/>
    </xf>
    <xf numFmtId="0" fontId="22" fillId="4" borderId="67" xfId="0" applyFont="1" applyFill="1" applyBorder="1" applyAlignment="1">
      <alignment horizontal="center"/>
    </xf>
    <xf numFmtId="0" fontId="13" fillId="26" borderId="38" xfId="0" applyFont="1" applyFill="1" applyBorder="1" applyAlignment="1">
      <alignment vertical="top"/>
    </xf>
    <xf numFmtId="168" fontId="0" fillId="6" borderId="19" xfId="0" applyNumberFormat="1" applyFill="1" applyBorder="1" applyAlignment="1">
      <alignment horizontal="center"/>
    </xf>
    <xf numFmtId="175" fontId="12" fillId="25" borderId="2" xfId="0" applyNumberFormat="1" applyFont="1" applyFill="1" applyBorder="1" applyAlignment="1">
      <alignment vertical="top"/>
    </xf>
    <xf numFmtId="165" fontId="12" fillId="25" borderId="2" xfId="0" applyNumberFormat="1" applyFont="1" applyFill="1" applyBorder="1" applyAlignment="1">
      <alignment vertical="top"/>
    </xf>
    <xf numFmtId="168" fontId="0" fillId="6" borderId="74" xfId="0" applyNumberFormat="1" applyFill="1" applyBorder="1" applyAlignment="1">
      <alignment horizontal="center"/>
    </xf>
    <xf numFmtId="175" fontId="12" fillId="25" borderId="73" xfId="0" applyNumberFormat="1" applyFont="1" applyFill="1" applyBorder="1" applyAlignment="1">
      <alignment vertical="top"/>
    </xf>
    <xf numFmtId="165" fontId="12" fillId="25" borderId="73" xfId="0" applyNumberFormat="1" applyFont="1" applyFill="1" applyBorder="1" applyAlignment="1">
      <alignment vertical="top"/>
    </xf>
    <xf numFmtId="0" fontId="24" fillId="0" borderId="0" xfId="0" applyFont="1" applyAlignment="1">
      <alignment horizontal="center"/>
    </xf>
    <xf numFmtId="0" fontId="0" fillId="0" borderId="1" xfId="0" applyBorder="1" applyAlignment="1">
      <alignment horizontal="center"/>
    </xf>
    <xf numFmtId="168" fontId="13" fillId="26" borderId="2" xfId="0" applyNumberFormat="1" applyFont="1" applyFill="1" applyBorder="1" applyAlignment="1">
      <alignment vertical="top"/>
    </xf>
    <xf numFmtId="164" fontId="13" fillId="26" borderId="2" xfId="3" applyNumberFormat="1" applyFont="1" applyFill="1" applyBorder="1" applyAlignment="1">
      <alignment vertical="top"/>
    </xf>
    <xf numFmtId="176" fontId="13" fillId="26" borderId="2" xfId="2" applyNumberFormat="1" applyFont="1" applyFill="1" applyBorder="1" applyAlignment="1">
      <alignment vertical="top"/>
    </xf>
    <xf numFmtId="167" fontId="12" fillId="25" borderId="3" xfId="0" applyNumberFormat="1" applyFont="1" applyFill="1" applyBorder="1" applyAlignment="1">
      <alignment vertical="top"/>
    </xf>
    <xf numFmtId="167" fontId="12" fillId="25" borderId="56" xfId="0" applyNumberFormat="1" applyFont="1" applyFill="1" applyBorder="1" applyAlignment="1">
      <alignment vertical="top"/>
    </xf>
    <xf numFmtId="168" fontId="13" fillId="26" borderId="73" xfId="0" applyNumberFormat="1" applyFont="1" applyFill="1" applyBorder="1" applyAlignment="1">
      <alignment vertical="top"/>
    </xf>
    <xf numFmtId="164" fontId="13" fillId="26" borderId="73" xfId="3" applyNumberFormat="1" applyFont="1" applyFill="1" applyBorder="1" applyAlignment="1">
      <alignment vertical="top"/>
    </xf>
    <xf numFmtId="176" fontId="13" fillId="26" borderId="73" xfId="2" applyNumberFormat="1" applyFont="1" applyFill="1" applyBorder="1" applyAlignment="1">
      <alignment vertical="top"/>
    </xf>
    <xf numFmtId="167" fontId="12" fillId="25" borderId="80" xfId="0" applyNumberFormat="1" applyFont="1" applyFill="1" applyBorder="1" applyAlignment="1">
      <alignment vertical="top"/>
    </xf>
    <xf numFmtId="167" fontId="12" fillId="25" borderId="77" xfId="0" applyNumberFormat="1" applyFont="1" applyFill="1" applyBorder="1" applyAlignment="1">
      <alignment vertical="top"/>
    </xf>
    <xf numFmtId="15" fontId="0" fillId="0" borderId="0" xfId="0" applyNumberFormat="1"/>
    <xf numFmtId="0" fontId="14" fillId="23" borderId="7" xfId="0" applyFont="1" applyFill="1" applyBorder="1" applyAlignment="1">
      <alignment horizontal="left"/>
    </xf>
    <xf numFmtId="0" fontId="14" fillId="23" borderId="7" xfId="0" applyFont="1" applyFill="1" applyBorder="1"/>
    <xf numFmtId="14" fontId="14" fillId="23" borderId="7" xfId="0" applyNumberFormat="1" applyFont="1" applyFill="1" applyBorder="1"/>
    <xf numFmtId="0" fontId="14" fillId="23" borderId="7" xfId="0" applyFont="1" applyFill="1" applyBorder="1" applyAlignment="1">
      <alignment horizontal="center"/>
    </xf>
    <xf numFmtId="0" fontId="0" fillId="25" borderId="7" xfId="0" applyFill="1" applyBorder="1"/>
    <xf numFmtId="0" fontId="0" fillId="25" borderId="7" xfId="0" applyFill="1" applyBorder="1" applyAlignment="1">
      <alignment horizontal="left"/>
    </xf>
    <xf numFmtId="14" fontId="0" fillId="25" borderId="7" xfId="0" applyNumberFormat="1" applyFill="1" applyBorder="1"/>
    <xf numFmtId="3" fontId="0" fillId="25" borderId="7" xfId="0" applyNumberFormat="1" applyFill="1" applyBorder="1" applyAlignment="1">
      <alignment horizontal="center"/>
    </xf>
    <xf numFmtId="0" fontId="0" fillId="25" borderId="7" xfId="0" applyFill="1" applyBorder="1" applyAlignment="1">
      <alignment horizontal="center"/>
    </xf>
    <xf numFmtId="0" fontId="14" fillId="23" borderId="40" xfId="0" applyFont="1" applyFill="1" applyBorder="1" applyAlignment="1">
      <alignment shrinkToFit="1"/>
    </xf>
    <xf numFmtId="14" fontId="0" fillId="25" borderId="41" xfId="0" applyNumberFormat="1" applyFill="1" applyBorder="1" applyAlignment="1">
      <alignment horizontal="center"/>
    </xf>
    <xf numFmtId="0" fontId="0" fillId="25" borderId="43" xfId="0" applyFill="1" applyBorder="1" applyAlignment="1">
      <alignment horizontal="left"/>
    </xf>
    <xf numFmtId="0" fontId="0" fillId="25" borderId="43" xfId="0" applyFill="1" applyBorder="1"/>
    <xf numFmtId="14" fontId="0" fillId="25" borderId="43" xfId="0" applyNumberFormat="1" applyFill="1" applyBorder="1"/>
    <xf numFmtId="3" fontId="0" fillId="25" borderId="43" xfId="0" applyNumberFormat="1" applyFill="1" applyBorder="1" applyAlignment="1">
      <alignment horizontal="center"/>
    </xf>
    <xf numFmtId="0" fontId="0" fillId="25" borderId="43" xfId="0" applyFill="1" applyBorder="1" applyAlignment="1">
      <alignment horizontal="center"/>
    </xf>
    <xf numFmtId="0" fontId="0" fillId="25" borderId="44" xfId="0" applyFill="1" applyBorder="1" applyAlignment="1">
      <alignment horizontal="center"/>
    </xf>
    <xf numFmtId="14" fontId="0" fillId="6" borderId="19" xfId="0" applyNumberFormat="1" applyFill="1" applyBorder="1" applyAlignment="1">
      <alignment horizontal="center"/>
    </xf>
    <xf numFmtId="0" fontId="16" fillId="0" borderId="0" xfId="0" quotePrefix="1" applyFont="1"/>
    <xf numFmtId="0" fontId="14" fillId="23" borderId="24" xfId="0" applyFont="1" applyFill="1" applyBorder="1" applyAlignment="1">
      <alignment horizontal="left"/>
    </xf>
    <xf numFmtId="0" fontId="14" fillId="23" borderId="54" xfId="0" applyFont="1" applyFill="1" applyBorder="1" applyAlignment="1">
      <alignment horizontal="left"/>
    </xf>
    <xf numFmtId="0" fontId="14" fillId="23" borderId="37" xfId="0" applyFont="1" applyFill="1" applyBorder="1" applyAlignment="1">
      <alignment horizontal="center"/>
    </xf>
    <xf numFmtId="0" fontId="14" fillId="23" borderId="65" xfId="0" applyFont="1" applyFill="1" applyBorder="1" applyAlignment="1">
      <alignment horizontal="center"/>
    </xf>
    <xf numFmtId="0" fontId="14" fillId="23" borderId="83" xfId="0" applyFont="1" applyFill="1" applyBorder="1" applyAlignment="1">
      <alignment horizontal="left"/>
    </xf>
    <xf numFmtId="0" fontId="14" fillId="23" borderId="84" xfId="0" applyFont="1" applyFill="1" applyBorder="1" applyAlignment="1">
      <alignment horizontal="left"/>
    </xf>
    <xf numFmtId="0" fontId="14" fillId="23" borderId="85" xfId="0" applyFont="1" applyFill="1" applyBorder="1" applyAlignment="1">
      <alignment horizontal="left"/>
    </xf>
    <xf numFmtId="0" fontId="14" fillId="23" borderId="31" xfId="0" applyFont="1" applyFill="1" applyBorder="1" applyAlignment="1">
      <alignment horizontal="left"/>
    </xf>
    <xf numFmtId="0" fontId="14" fillId="23" borderId="32" xfId="0" applyFont="1" applyFill="1" applyBorder="1" applyAlignment="1">
      <alignment horizontal="left"/>
    </xf>
    <xf numFmtId="0" fontId="14" fillId="23" borderId="33" xfId="0" applyFont="1" applyFill="1" applyBorder="1" applyAlignment="1">
      <alignment horizontal="left"/>
    </xf>
    <xf numFmtId="0" fontId="14" fillId="23" borderId="30" xfId="0" applyFont="1" applyFill="1" applyBorder="1" applyAlignment="1">
      <alignment horizontal="left"/>
    </xf>
    <xf numFmtId="0" fontId="14" fillId="23" borderId="45" xfId="0" applyFont="1" applyFill="1" applyBorder="1" applyAlignment="1">
      <alignment horizontal="left"/>
    </xf>
    <xf numFmtId="0" fontId="14" fillId="23" borderId="46" xfId="0" applyFont="1" applyFill="1" applyBorder="1" applyAlignment="1">
      <alignment horizontal="left"/>
    </xf>
    <xf numFmtId="0" fontId="14" fillId="23" borderId="47" xfId="0" applyFont="1" applyFill="1" applyBorder="1" applyAlignment="1">
      <alignment horizontal="left"/>
    </xf>
    <xf numFmtId="0" fontId="19" fillId="9" borderId="70" xfId="0" applyFont="1" applyFill="1" applyBorder="1" applyAlignment="1">
      <alignment horizontal="center" vertical="center"/>
    </xf>
    <xf numFmtId="0" fontId="19" fillId="9" borderId="54" xfId="0" applyFont="1" applyFill="1" applyBorder="1" applyAlignment="1">
      <alignment horizontal="center" vertical="center"/>
    </xf>
    <xf numFmtId="0" fontId="18" fillId="9" borderId="38" xfId="0" applyFont="1" applyFill="1" applyBorder="1" applyAlignment="1">
      <alignment horizontal="center" vertical="center"/>
    </xf>
    <xf numFmtId="0" fontId="18" fillId="9" borderId="70" xfId="0" applyFont="1" applyFill="1" applyBorder="1" applyAlignment="1">
      <alignment horizontal="center" vertical="center"/>
    </xf>
    <xf numFmtId="0" fontId="18" fillId="9" borderId="78" xfId="0" applyFont="1" applyFill="1" applyBorder="1" applyAlignment="1">
      <alignment horizontal="center" vertical="center"/>
    </xf>
    <xf numFmtId="0" fontId="18" fillId="9" borderId="34" xfId="0" applyFont="1" applyFill="1" applyBorder="1" applyAlignment="1">
      <alignment horizontal="center" vertical="center"/>
    </xf>
    <xf numFmtId="0" fontId="18" fillId="9" borderId="54" xfId="0" applyFont="1" applyFill="1" applyBorder="1" applyAlignment="1">
      <alignment horizontal="center" vertical="center"/>
    </xf>
    <xf numFmtId="0" fontId="0" fillId="12" borderId="0" xfId="0" applyFill="1"/>
    <xf numFmtId="0" fontId="0" fillId="0" borderId="0" xfId="0"/>
    <xf numFmtId="0" fontId="0" fillId="16" borderId="0" xfId="0" applyFill="1"/>
    <xf numFmtId="0" fontId="0" fillId="17" borderId="0" xfId="0" applyFill="1"/>
    <xf numFmtId="0" fontId="0" fillId="11" borderId="0" xfId="0" applyFill="1"/>
    <xf numFmtId="0" fontId="0" fillId="18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9" borderId="0" xfId="0" applyFill="1"/>
    <xf numFmtId="0" fontId="3" fillId="4" borderId="6" xfId="0" applyFont="1" applyFill="1" applyBorder="1" applyAlignment="1">
      <alignment horizontal="center" vertical="center"/>
    </xf>
    <xf numFmtId="14" fontId="14" fillId="23" borderId="41" xfId="0" applyNumberFormat="1" applyFont="1" applyFill="1" applyBorder="1" applyAlignment="1">
      <alignment horizontal="center"/>
    </xf>
    <xf numFmtId="14" fontId="18" fillId="9" borderId="55" xfId="0" applyNumberFormat="1" applyFont="1" applyFill="1" applyBorder="1" applyAlignment="1">
      <alignment horizontal="center" vertical="center"/>
    </xf>
    <xf numFmtId="14" fontId="0" fillId="25" borderId="68" xfId="0" applyNumberFormat="1" applyFill="1" applyBorder="1" applyAlignment="1">
      <alignment horizontal="center"/>
    </xf>
  </cellXfs>
  <cellStyles count="4">
    <cellStyle name="Comma" xfId="1" builtinId="3"/>
    <cellStyle name="Currency" xfId="2" builtinId="4"/>
    <cellStyle name="Normal" xfId="0" builtinId="0"/>
    <cellStyle name="Percent" xfId="3" builtinId="5"/>
  </cellStyles>
  <dxfs count="129">
    <dxf>
      <font>
        <color theme="3" tint="0.79998168889431442"/>
      </font>
    </dxf>
    <dxf>
      <font>
        <color theme="3" tint="0.79998168889431442"/>
      </font>
    </dxf>
    <dxf>
      <font>
        <color theme="3" tint="0.79998168889431442"/>
      </font>
    </dxf>
    <dxf>
      <font>
        <color theme="3" tint="0.79998168889431442"/>
      </font>
    </dxf>
    <dxf>
      <font>
        <color theme="3" tint="0.79998168889431442"/>
      </font>
    </dxf>
    <dxf>
      <font>
        <color theme="3" tint="0.79998168889431442"/>
      </font>
    </dxf>
    <dxf>
      <font>
        <color theme="3" tint="0.79998168889431442"/>
        <name val="Cambria"/>
        <scheme val="none"/>
      </font>
    </dxf>
    <dxf>
      <font>
        <color theme="3" tint="0.79998168889431442"/>
        <name val="Cambria"/>
        <scheme val="none"/>
      </font>
    </dxf>
    <dxf>
      <font>
        <color theme="3" tint="0.79998168889431442"/>
        <name val="Cambria"/>
        <scheme val="none"/>
      </font>
    </dxf>
    <dxf>
      <font>
        <color theme="3" tint="0.79998168889431442"/>
        <name val="Cambria"/>
        <scheme val="none"/>
      </font>
    </dxf>
    <dxf>
      <font>
        <color theme="9" tint="0.39994506668294322"/>
      </font>
    </dxf>
    <dxf>
      <font>
        <color theme="3" tint="0.79998168889431442"/>
        <name val="Cambria"/>
        <scheme val="none"/>
      </font>
    </dxf>
    <dxf>
      <font>
        <color theme="3" tint="0.79998168889431442"/>
        <name val="Cambria"/>
        <scheme val="none"/>
      </font>
    </dxf>
    <dxf>
      <font>
        <color theme="3" tint="0.79998168889431442"/>
        <name val="Cambria"/>
        <scheme val="none"/>
      </font>
    </dxf>
    <dxf>
      <font>
        <color theme="3" tint="0.79998168889431442"/>
        <name val="Cambria"/>
        <scheme val="none"/>
      </font>
    </dxf>
    <dxf>
      <font>
        <color theme="3" tint="0.79998168889431442"/>
        <name val="Cambria"/>
        <scheme val="none"/>
      </font>
    </dxf>
    <dxf>
      <font>
        <color theme="3" tint="0.79998168889431442"/>
        <name val="Cambria"/>
        <scheme val="none"/>
      </font>
    </dxf>
    <dxf>
      <font>
        <color theme="3" tint="0.79998168889431442"/>
        <name val="Cambria"/>
        <scheme val="none"/>
      </font>
    </dxf>
    <dxf>
      <font>
        <color theme="3" tint="0.79998168889431442"/>
        <name val="Cambria"/>
        <scheme val="none"/>
      </font>
    </dxf>
    <dxf>
      <font>
        <color theme="3" tint="0.79998168889431442"/>
        <name val="Cambria"/>
        <scheme val="none"/>
      </font>
    </dxf>
    <dxf>
      <font>
        <color theme="3" tint="0.79998168889431442"/>
        <name val="Cambria"/>
        <scheme val="none"/>
      </font>
    </dxf>
    <dxf>
      <font>
        <color theme="9" tint="0.39994506668294322"/>
      </font>
    </dxf>
    <dxf>
      <font>
        <color theme="3" tint="0.79998168889431442"/>
        <name val="Cambria"/>
        <scheme val="none"/>
      </font>
    </dxf>
    <dxf>
      <font>
        <color theme="3" tint="0.79998168889431442"/>
        <name val="Cambria"/>
        <scheme val="none"/>
      </font>
    </dxf>
    <dxf>
      <font>
        <color theme="3" tint="0.79998168889431442"/>
        <name val="Cambria"/>
        <scheme val="none"/>
      </font>
    </dxf>
    <dxf>
      <font>
        <color theme="3" tint="0.79998168889431442"/>
        <name val="Cambria"/>
        <scheme val="none"/>
      </font>
    </dxf>
    <dxf>
      <font>
        <color theme="3" tint="0.79998168889431442"/>
        <name val="Cambria"/>
        <scheme val="none"/>
      </font>
    </dxf>
    <dxf>
      <font>
        <color theme="3" tint="0.79998168889431442"/>
        <name val="Cambria"/>
        <scheme val="none"/>
      </font>
    </dxf>
    <dxf>
      <font>
        <color theme="3" tint="0.79998168889431442"/>
        <name val="Cambria"/>
        <scheme val="none"/>
      </font>
    </dxf>
    <dxf>
      <font>
        <color theme="3" tint="0.79998168889431442"/>
        <name val="Cambria"/>
        <scheme val="none"/>
      </font>
    </dxf>
    <dxf>
      <font>
        <color theme="3" tint="0.79998168889431442"/>
        <name val="Cambria"/>
        <scheme val="none"/>
      </font>
    </dxf>
    <dxf>
      <font>
        <color theme="3" tint="0.79998168889431442"/>
        <name val="Cambria"/>
        <scheme val="none"/>
      </font>
    </dxf>
    <dxf>
      <font>
        <color theme="3" tint="0.79998168889431442"/>
        <name val="Cambria"/>
        <scheme val="none"/>
      </font>
    </dxf>
    <dxf>
      <font>
        <color theme="3" tint="0.79998168889431442"/>
        <name val="Cambria"/>
        <scheme val="none"/>
      </font>
    </dxf>
    <dxf>
      <font>
        <color theme="3" tint="0.79998168889431442"/>
        <name val="Cambria"/>
        <scheme val="none"/>
      </font>
    </dxf>
    <dxf>
      <font>
        <color theme="9" tint="0.39994506668294322"/>
      </font>
    </dxf>
    <dxf>
      <font>
        <color theme="3" tint="0.79998168889431442"/>
        <name val="Cambria"/>
        <scheme val="none"/>
      </font>
    </dxf>
    <dxf>
      <font>
        <color theme="3" tint="0.79998168889431442"/>
        <name val="Cambria"/>
        <scheme val="none"/>
      </font>
    </dxf>
    <dxf>
      <font>
        <color theme="3" tint="0.79998168889431442"/>
        <name val="Cambria"/>
        <scheme val="none"/>
      </font>
    </dxf>
    <dxf>
      <font>
        <color theme="9" tint="0.39994506668294322"/>
      </font>
    </dxf>
    <dxf>
      <font>
        <color theme="3" tint="0.79998168889431442"/>
        <name val="Cambria"/>
        <scheme val="none"/>
      </font>
    </dxf>
    <dxf>
      <font>
        <color theme="3" tint="0.79998168889431442"/>
        <name val="Cambria"/>
        <scheme val="none"/>
      </font>
    </dxf>
    <dxf>
      <font>
        <color theme="3" tint="0.79998168889431442"/>
        <name val="Cambria"/>
        <scheme val="none"/>
      </font>
    </dxf>
    <dxf>
      <font>
        <color theme="3" tint="0.79998168889431442"/>
        <name val="Cambria"/>
        <scheme val="none"/>
      </font>
    </dxf>
    <dxf>
      <font>
        <color theme="3" tint="0.79998168889431442"/>
        <name val="Cambria"/>
        <scheme val="none"/>
      </font>
    </dxf>
    <dxf>
      <font>
        <color theme="9" tint="0.39994506668294322"/>
      </font>
    </dxf>
    <dxf>
      <font>
        <color theme="3" tint="0.79998168889431442"/>
        <name val="Cambria"/>
        <scheme val="none"/>
      </font>
    </dxf>
    <dxf>
      <font>
        <color theme="3" tint="0.79998168889431442"/>
        <name val="Cambria"/>
        <scheme val="none"/>
      </font>
    </dxf>
    <dxf>
      <font>
        <color theme="3" tint="0.79998168889431442"/>
        <name val="Cambria"/>
        <scheme val="none"/>
      </font>
    </dxf>
    <dxf>
      <font>
        <color theme="3" tint="0.79998168889431442"/>
        <name val="Cambria"/>
        <scheme val="none"/>
      </font>
    </dxf>
    <dxf>
      <font>
        <color theme="3" tint="0.79998168889431442"/>
        <name val="Cambria"/>
        <scheme val="none"/>
      </font>
    </dxf>
    <dxf>
      <font>
        <color theme="3" tint="0.79998168889431442"/>
        <name val="Cambria"/>
        <scheme val="none"/>
      </font>
    </dxf>
    <dxf>
      <font>
        <color theme="3" tint="0.79998168889431442"/>
        <name val="Cambria"/>
        <scheme val="none"/>
      </font>
    </dxf>
    <dxf>
      <font>
        <color theme="3" tint="0.79998168889431442"/>
        <name val="Cambria"/>
        <scheme val="none"/>
      </font>
    </dxf>
    <dxf>
      <font>
        <color theme="3" tint="0.79998168889431442"/>
        <name val="Cambria"/>
        <scheme val="none"/>
      </font>
    </dxf>
    <dxf>
      <font>
        <color theme="3" tint="0.79998168889431442"/>
        <name val="Cambria"/>
        <scheme val="none"/>
      </font>
    </dxf>
    <dxf>
      <font>
        <color theme="3" tint="0.79998168889431442"/>
        <name val="Cambria"/>
        <scheme val="none"/>
      </font>
    </dxf>
    <dxf>
      <font>
        <color theme="3" tint="0.79998168889431442"/>
        <name val="Cambria"/>
        <scheme val="none"/>
      </font>
    </dxf>
    <dxf>
      <font>
        <color theme="3" tint="0.79998168889431442"/>
        <name val="Cambria"/>
        <scheme val="none"/>
      </font>
    </dxf>
    <dxf>
      <font>
        <color theme="3" tint="0.79998168889431442"/>
        <name val="Cambria"/>
        <scheme val="none"/>
      </font>
    </dxf>
    <dxf>
      <font>
        <color theme="3" tint="0.79998168889431442"/>
        <name val="Cambria"/>
        <scheme val="none"/>
      </font>
    </dxf>
    <dxf>
      <font>
        <color theme="3" tint="0.79998168889431442"/>
        <name val="Cambria"/>
        <scheme val="none"/>
      </font>
    </dxf>
    <dxf>
      <font>
        <color theme="3" tint="0.79998168889431442"/>
        <name val="Cambria"/>
        <scheme val="none"/>
      </font>
    </dxf>
    <dxf>
      <font>
        <color theme="3" tint="0.79998168889431442"/>
        <name val="Cambria"/>
        <scheme val="none"/>
      </font>
    </dxf>
    <dxf>
      <font>
        <color theme="3" tint="0.79998168889431442"/>
        <name val="Cambria"/>
        <scheme val="none"/>
      </font>
    </dxf>
    <dxf>
      <font>
        <color theme="3" tint="0.79998168889431442"/>
        <name val="Cambria"/>
        <scheme val="none"/>
      </font>
    </dxf>
    <dxf>
      <font>
        <color theme="3" tint="0.79998168889431442"/>
        <name val="Cambria"/>
        <scheme val="none"/>
      </font>
    </dxf>
    <dxf>
      <font>
        <color theme="3" tint="0.79998168889431442"/>
        <name val="Cambria"/>
        <scheme val="none"/>
      </font>
    </dxf>
    <dxf>
      <font>
        <color theme="3" tint="0.79998168889431442"/>
        <name val="Cambria"/>
        <scheme val="none"/>
      </font>
    </dxf>
    <dxf>
      <font>
        <color theme="3" tint="0.79998168889431442"/>
        <name val="Cambria"/>
        <scheme val="none"/>
      </font>
    </dxf>
    <dxf>
      <font>
        <color theme="3" tint="0.79998168889431442"/>
        <name val="Cambria"/>
        <scheme val="none"/>
      </font>
    </dxf>
    <dxf>
      <font>
        <color theme="3" tint="0.79998168889431442"/>
        <name val="Cambria"/>
        <scheme val="none"/>
      </font>
    </dxf>
    <dxf>
      <font>
        <color theme="3" tint="0.79998168889431442"/>
        <name val="Cambria"/>
        <scheme val="none"/>
      </font>
    </dxf>
    <dxf>
      <font>
        <color theme="3" tint="0.79998168889431442"/>
        <name val="Cambria"/>
        <scheme val="none"/>
      </font>
    </dxf>
    <dxf>
      <font>
        <color theme="3" tint="0.79998168889431442"/>
        <name val="Cambria"/>
        <scheme val="none"/>
      </font>
    </dxf>
    <dxf>
      <font>
        <color theme="3" tint="0.79998168889431442"/>
        <name val="Cambria"/>
        <scheme val="none"/>
      </font>
    </dxf>
    <dxf>
      <font>
        <color theme="3" tint="0.79998168889431442"/>
        <name val="Cambria"/>
        <scheme val="none"/>
      </font>
    </dxf>
    <dxf>
      <font>
        <color theme="3" tint="0.79998168889431442"/>
        <name val="Cambria"/>
        <scheme val="none"/>
      </font>
    </dxf>
    <dxf>
      <font>
        <color theme="3" tint="0.79998168889431442"/>
        <name val="Cambria"/>
        <scheme val="none"/>
      </font>
    </dxf>
    <dxf>
      <font>
        <color theme="3" tint="0.79998168889431442"/>
        <name val="Cambria"/>
        <scheme val="none"/>
      </font>
    </dxf>
    <dxf>
      <font>
        <color theme="3" tint="0.79998168889431442"/>
        <name val="Cambria"/>
        <scheme val="none"/>
      </font>
    </dxf>
    <dxf>
      <font>
        <color theme="3" tint="0.79998168889431442"/>
        <name val="Cambria"/>
        <scheme val="none"/>
      </font>
    </dxf>
    <dxf>
      <font>
        <color theme="3" tint="0.79998168889431442"/>
        <name val="Cambria"/>
        <scheme val="none"/>
      </font>
    </dxf>
    <dxf>
      <font>
        <color theme="3" tint="0.79998168889431442"/>
        <name val="Cambria"/>
        <scheme val="none"/>
      </font>
    </dxf>
    <dxf>
      <font>
        <color theme="3" tint="0.79998168889431442"/>
        <name val="Cambria"/>
        <scheme val="none"/>
      </font>
    </dxf>
    <dxf>
      <font>
        <color theme="3" tint="0.79998168889431442"/>
        <name val="Cambria"/>
        <scheme val="none"/>
      </font>
    </dxf>
    <dxf>
      <font>
        <color theme="3" tint="0.79998168889431442"/>
        <name val="Cambria"/>
        <scheme val="none"/>
      </font>
    </dxf>
    <dxf>
      <font>
        <color theme="3" tint="0.79998168889431442"/>
        <name val="Cambria"/>
        <scheme val="none"/>
      </font>
    </dxf>
    <dxf>
      <font>
        <color theme="3" tint="0.79998168889431442"/>
        <name val="Cambria"/>
        <scheme val="none"/>
      </font>
    </dxf>
    <dxf>
      <font>
        <color theme="3" tint="0.79998168889431442"/>
        <name val="Cambria"/>
        <scheme val="none"/>
      </font>
    </dxf>
    <dxf>
      <font>
        <color theme="3" tint="0.79998168889431442"/>
        <name val="Cambria"/>
        <scheme val="none"/>
      </font>
    </dxf>
    <dxf>
      <font>
        <color theme="3" tint="0.79998168889431442"/>
        <name val="Cambria"/>
        <scheme val="none"/>
      </font>
    </dxf>
    <dxf>
      <font>
        <color theme="3" tint="0.79998168889431442"/>
        <name val="Cambria"/>
        <scheme val="none"/>
      </font>
    </dxf>
    <dxf>
      <font>
        <color theme="3" tint="0.79998168889431442"/>
        <name val="Cambria"/>
        <scheme val="none"/>
      </font>
    </dxf>
    <dxf>
      <font>
        <color theme="3" tint="0.79998168889431442"/>
        <name val="Cambria"/>
        <scheme val="none"/>
      </font>
    </dxf>
    <dxf>
      <font>
        <color theme="3" tint="0.79998168889431442"/>
        <name val="Cambria"/>
        <scheme val="none"/>
      </font>
    </dxf>
    <dxf>
      <font>
        <color theme="3" tint="0.79998168889431442"/>
        <name val="Cambria"/>
        <scheme val="none"/>
      </font>
    </dxf>
    <dxf>
      <font>
        <color theme="3" tint="0.79998168889431442"/>
        <name val="Cambria"/>
        <scheme val="none"/>
      </font>
    </dxf>
    <dxf>
      <font>
        <color theme="3" tint="0.79998168889431442"/>
        <name val="Cambria"/>
        <scheme val="none"/>
      </font>
    </dxf>
    <dxf>
      <font>
        <color theme="3" tint="0.79998168889431442"/>
        <name val="Cambria"/>
        <scheme val="none"/>
      </font>
    </dxf>
    <dxf>
      <font>
        <color theme="3" tint="0.79998168889431442"/>
        <name val="Cambria"/>
        <scheme val="none"/>
      </font>
    </dxf>
    <dxf>
      <font>
        <color theme="3" tint="0.79998168889431442"/>
        <name val="Cambria"/>
        <scheme val="none"/>
      </font>
    </dxf>
    <dxf>
      <font>
        <color theme="3" tint="0.79998168889431442"/>
        <name val="Cambria"/>
        <scheme val="none"/>
      </font>
    </dxf>
    <dxf>
      <font>
        <color theme="3" tint="0.79998168889431442"/>
        <name val="Cambria"/>
        <scheme val="none"/>
      </font>
    </dxf>
    <dxf>
      <font>
        <color theme="3" tint="0.79998168889431442"/>
        <name val="Cambria"/>
        <scheme val="none"/>
      </font>
    </dxf>
    <dxf>
      <font>
        <color theme="3" tint="0.79998168889431442"/>
        <name val="Cambria"/>
        <scheme val="none"/>
      </font>
    </dxf>
    <dxf>
      <font>
        <color theme="3" tint="0.79998168889431442"/>
        <name val="Cambria"/>
        <scheme val="none"/>
      </font>
    </dxf>
    <dxf>
      <font>
        <color theme="3" tint="0.79998168889431442"/>
        <name val="Cambria"/>
        <scheme val="none"/>
      </font>
    </dxf>
    <dxf>
      <font>
        <color theme="3" tint="0.79998168889431442"/>
        <name val="Cambria"/>
        <scheme val="none"/>
      </font>
    </dxf>
    <dxf>
      <font>
        <color theme="3" tint="0.79998168889431442"/>
        <name val="Cambria"/>
        <scheme val="none"/>
      </font>
    </dxf>
    <dxf>
      <font>
        <color theme="3" tint="0.79998168889431442"/>
        <name val="Cambria"/>
        <scheme val="none"/>
      </font>
    </dxf>
    <dxf>
      <font>
        <color theme="3" tint="0.79998168889431442"/>
        <name val="Cambria"/>
        <scheme val="none"/>
      </font>
    </dxf>
    <dxf>
      <font>
        <color theme="3" tint="0.79998168889431442"/>
        <name val="Cambria"/>
        <scheme val="none"/>
      </font>
    </dxf>
    <dxf>
      <font>
        <color theme="3" tint="0.79998168889431442"/>
        <name val="Cambria"/>
        <scheme val="none"/>
      </font>
    </dxf>
    <dxf>
      <font>
        <color theme="3" tint="0.79998168889431442"/>
        <name val="Cambria"/>
        <scheme val="none"/>
      </font>
    </dxf>
    <dxf>
      <font>
        <color theme="3" tint="0.79998168889431442"/>
        <name val="Cambria"/>
        <scheme val="none"/>
      </font>
    </dxf>
    <dxf>
      <font>
        <color theme="3" tint="0.79998168889431442"/>
        <name val="Cambria"/>
        <scheme val="none"/>
      </font>
    </dxf>
    <dxf>
      <font>
        <color theme="3" tint="0.79998168889431442"/>
        <name val="Cambria"/>
        <scheme val="none"/>
      </font>
    </dxf>
    <dxf>
      <font>
        <color theme="3" tint="0.79998168889431442"/>
        <name val="Cambria"/>
        <scheme val="none"/>
      </font>
    </dxf>
    <dxf>
      <font>
        <color theme="3" tint="0.79998168889431442"/>
        <name val="Cambria"/>
        <scheme val="none"/>
      </font>
    </dxf>
    <dxf>
      <font>
        <color theme="3" tint="0.79998168889431442"/>
        <name val="Cambria"/>
        <scheme val="none"/>
      </font>
    </dxf>
    <dxf>
      <font>
        <color theme="3" tint="0.79998168889431442"/>
        <name val="Cambria"/>
        <scheme val="none"/>
      </font>
    </dxf>
    <dxf>
      <font>
        <color theme="3" tint="0.79998168889431442"/>
        <name val="Cambria"/>
        <scheme val="none"/>
      </font>
    </dxf>
    <dxf>
      <font>
        <color theme="3" tint="0.79998168889431442"/>
        <name val="Cambria"/>
        <scheme val="none"/>
      </font>
    </dxf>
    <dxf>
      <font>
        <color theme="3" tint="0.79998168889431442"/>
        <name val="Cambria"/>
        <scheme val="none"/>
      </font>
    </dxf>
    <dxf>
      <font>
        <color theme="3" tint="0.79998168889431442"/>
        <name val="Cambria"/>
        <scheme val="none"/>
      </font>
    </dxf>
    <dxf>
      <font>
        <color theme="3" tint="0.79998168889431442"/>
        <name val="Cambria"/>
        <scheme val="none"/>
      </font>
    </dxf>
    <dxf>
      <font>
        <color theme="0"/>
      </font>
      <fill>
        <patternFill patternType="none">
          <bgColor indexed="65"/>
        </patternFill>
      </fill>
    </dxf>
    <dxf>
      <fill>
        <patternFill>
          <bgColor theme="0"/>
        </patternFill>
      </fill>
    </dxf>
  </dxfs>
  <tableStyles count="1" defaultTableStyle="TableStyleMedium9" defaultPivotStyle="PivotStyleLight16">
    <tableStyle name="MySqlDefault" pivot="0" table="0" count="0" xr9:uid="{00000000-0011-0000-FFFF-FFFF0000000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bofaddin.rtdserver">
      <tp t="s">
        <v>#N/A N/A</v>
        <stp/>
        <stp>BCHAIN|12580434146852828910</stp>
        <tr r="B11" s="5"/>
      </tp>
    </main>
    <main first="bofaddin.rtdserver">
      <tp t="s">
        <v>#N/A N/A</v>
        <stp/>
        <stp>BCHAIN|12573429683387903325</stp>
        <tr r="B11" s="7"/>
      </tp>
    </main>
    <main first="bofaddin.rtdserver">
      <tp t="s">
        <v>#N/A Requesting Data...4174071833</v>
        <stp/>
        <stp>BDP|16290819750771282087</stp>
        <tr r="C69" s="12"/>
      </tp>
      <tp t="s">
        <v>#N/A Requesting Data...3891747496</v>
        <stp/>
        <stp>BDP|13628104798760557124</stp>
        <tr r="AB45" s="14"/>
        <tr r="AB45" s="14"/>
      </tp>
      <tp t="s">
        <v>#N/A Requesting Data...3977801907</v>
        <stp/>
        <stp>BDP|17497954207304985063</stp>
        <tr r="AL89" s="14"/>
      </tp>
      <tp t="s">
        <v>#N/A Requesting Data...4223172201</v>
        <stp/>
        <stp>BDP|11023981069151934514</stp>
        <tr r="M11" s="1"/>
      </tp>
      <tp t="s">
        <v>#N/A Requesting Data...3910971274</v>
        <stp/>
        <stp>BDP|15462802339590147448</stp>
        <tr r="AS43" s="14"/>
      </tp>
      <tp t="s">
        <v>#N/A Requesting Data...4072944171</v>
        <stp/>
        <stp>BDP|11177578538874239948</stp>
        <tr r="AL11" s="14"/>
      </tp>
      <tp t="s">
        <v>#N/A N/A</v>
        <stp/>
        <stp>BDP|17912067304484580969</stp>
        <tr r="G21" s="1"/>
      </tp>
      <tp t="s">
        <v>#N/A Requesting Data...3870560100</v>
        <stp/>
        <stp>BDP|18020313082039249096</stp>
        <tr r="G22" s="16"/>
      </tp>
      <tp t="s">
        <v>#N/A Requesting Data...4272918293</v>
        <stp/>
        <stp>BDP|10133994203403316003</stp>
        <tr r="K49" s="14"/>
      </tp>
      <tp t="s">
        <v>#N/A N/A</v>
        <stp/>
        <stp>BDP|15575797214971388836</stp>
        <tr r="J30" s="16"/>
      </tp>
      <tp t="s">
        <v>#N/A Requesting Data...3926428457</v>
        <stp/>
        <stp>BDP|17479678134691508992</stp>
        <tr r="AP57" s="14"/>
      </tp>
      <tp t="s">
        <v>#N/A N/A</v>
        <stp/>
        <stp>BDP|18289488814811629630</stp>
        <tr r="W23" s="6"/>
      </tp>
      <tp t="s">
        <v>#N/A Requesting Data...4092703619</v>
        <stp/>
        <stp>BDP|15245529429861692946</stp>
        <tr r="G43" s="16"/>
      </tp>
      <tp t="s">
        <v>#N/A Requesting Data...3964759067</v>
        <stp/>
        <stp>BDP|14525688499318720983</stp>
        <tr r="AM58" s="14"/>
      </tp>
      <tp t="s">
        <v>#N/A Requesting Data...4008220416</v>
        <stp/>
        <stp>BDP|14463578021101970807</stp>
        <tr r="AB69" s="14"/>
        <tr r="AB69" s="14"/>
      </tp>
      <tp t="s">
        <v>#N/A Requesting Data...4242088275</v>
        <stp/>
        <stp>BDP|16361195577129399355</stp>
        <tr r="AL15" s="14"/>
      </tp>
      <tp t="s">
        <v>#N/A N/A</v>
        <stp/>
        <stp>BDP|12129796202678059719</stp>
        <tr r="S11" s="7"/>
      </tp>
      <tp t="s">
        <v>#N/A Requesting Data...3978144337</v>
        <stp/>
        <stp>BDP|12484811688641783919</stp>
        <tr r="AB58" s="14"/>
        <tr r="AB58" s="14"/>
      </tp>
      <tp t="s">
        <v>#N/A Requesting Data...4010309565</v>
        <stp/>
        <stp>BDP|16309961655136291698</stp>
        <tr r="AS60" s="14"/>
      </tp>
      <tp t="s">
        <v>#N/A N/A</v>
        <stp/>
        <stp>BDP|15168982625411598528</stp>
        <tr r="G26" s="6"/>
      </tp>
      <tp t="s">
        <v>#N/A Requesting Data...3958844732</v>
        <stp/>
        <stp>BDP|13610084531262560810</stp>
        <tr r="AD48" s="14"/>
      </tp>
      <tp t="s">
        <v>#N/A Requesting Data...4235899729</v>
        <stp/>
        <stp>BDP|13225696983210500766</stp>
        <tr r="C96" s="16"/>
        <tr r="D98" s="14"/>
      </tp>
      <tp t="s">
        <v>#N/A N/A</v>
        <stp/>
        <stp>BDP|17470637013543939966</stp>
        <tr r="AH99" s="14"/>
        <tr r="AH99" s="14"/>
      </tp>
      <tp t="s">
        <v>#N/A Requesting Data...3949035393</v>
        <stp/>
        <stp>BDP|13783697380206588102</stp>
        <tr r="C59" s="14"/>
      </tp>
      <tp t="s">
        <v>#N/A Requesting Data...4258715345</v>
        <stp/>
        <stp>BDP|18087369456195350180</stp>
        <tr r="AH55" s="14"/>
      </tp>
      <tp t="s">
        <v>#N/A Requesting Data...4212250980</v>
        <stp/>
        <stp>BDP|15940722161668604675</stp>
        <tr r="C67" s="12"/>
      </tp>
      <tp t="s">
        <v>#N/A Requesting Data...4279843496</v>
        <stp/>
        <stp>BDP|12453309183451512282</stp>
        <tr r="I78" s="14"/>
        <tr r="I78" s="14"/>
      </tp>
      <tp t="s">
        <v>#N/A Requesting Data...4232471763</v>
        <stp/>
        <stp>BDP|14751057881145010391</stp>
        <tr r="AN97" s="14"/>
      </tp>
      <tp t="s">
        <v>#N/A Requesting Data...3964109121</v>
        <stp/>
        <stp>BDP|14210682638483077882</stp>
        <tr r="AQ97" s="14"/>
      </tp>
      <tp t="s">
        <v>#N/A Requesting Data...4275886803</v>
        <stp/>
        <stp>BDP|15358175533604455993</stp>
        <tr r="AO27" s="14"/>
        <tr r="AO27" s="14"/>
      </tp>
      <tp t="s">
        <v>#N/A Requesting Data...4083211671</v>
        <stp/>
        <stp>BDP|11466867755331855751</stp>
        <tr r="AQ90" s="14"/>
        <tr r="AQ91" s="14"/>
      </tp>
      <tp t="s">
        <v>#N/A Requesting Data...4145023599</v>
        <stp/>
        <stp>BDP|11363945354454848316</stp>
        <tr r="C35" s="16"/>
        <tr r="D37" s="14"/>
      </tp>
      <tp t="s">
        <v>#N/A N/A</v>
        <stp/>
        <stp>BDP|13820846917870270040</stp>
        <tr r="AH104" s="14"/>
        <tr r="AH104" s="14"/>
      </tp>
      <tp t="s">
        <v>#N/A Requesting Data...4227822168</v>
        <stp/>
        <stp>BDP|16309405392799503898</stp>
        <tr r="H104" s="14"/>
      </tp>
      <tp t="s">
        <v>#N/A N/A</v>
        <stp/>
        <stp>BDP|17249336506389311798</stp>
        <tr r="E13" s="7"/>
      </tp>
      <tp t="s">
        <v>#N/A Requesting Data...4265610745</v>
        <stp/>
        <stp>BDP|11891095074615847903</stp>
        <tr r="AP31" s="14"/>
      </tp>
      <tp t="s">
        <v>#N/A Requesting Data...4198976251</v>
        <stp/>
        <stp>BDP|15868477598034918633</stp>
        <tr r="H42" s="14"/>
      </tp>
      <tp t="s">
        <v>#N/A Requesting Data...4120372554</v>
        <stp/>
        <stp>BDP|11975931066073572743</stp>
        <tr r="AS108" s="14"/>
      </tp>
      <tp t="s">
        <v>#N/A Requesting Data...4073725581</v>
        <stp/>
        <stp>BDP|13412645699496071046</stp>
        <tr r="AU100" s="14"/>
      </tp>
      <tp t="s">
        <v>#N/A N/A</v>
        <stp/>
        <stp>BDP|14524846060436879646</stp>
        <tr r="D19" s="7"/>
      </tp>
      <tp t="s">
        <v>#N/A N/A</v>
        <stp/>
        <stp>BDP|10251629269989371368</stp>
        <tr r="K21" s="16"/>
      </tp>
      <tp t="s">
        <v>#N/A Requesting Data...4167323456</v>
        <stp/>
        <stp>BDP|16044139384731325485</stp>
        <tr r="AN110" s="14"/>
      </tp>
      <tp t="s">
        <v>#N/A Requesting Data...3975386138</v>
        <stp/>
        <stp>BDP|10356961386588641392</stp>
        <tr r="D80" s="12"/>
      </tp>
      <tp t="s">
        <v>#N/A N/A</v>
        <stp/>
        <stp>BDP|15599718236669610282</stp>
        <tr r="F14" s="1"/>
      </tp>
      <tp t="s">
        <v>#N/A Requesting Data...4058792344</v>
        <stp/>
        <stp>BDP|16990845685824237863</stp>
        <tr r="AQ54" s="14"/>
      </tp>
      <tp t="s">
        <v>#N/A Requesting Data...4069222284</v>
        <stp/>
        <stp>BDP|10880989302954535784</stp>
        <tr r="I82" s="14"/>
        <tr r="I82" s="14"/>
      </tp>
      <tp t="s">
        <v>#N/A Requesting Data...4063001313</v>
        <stp/>
        <stp>BDP|10760672820746605896</stp>
        <tr r="AN75" s="14"/>
      </tp>
      <tp t="s">
        <v>#N/A Requesting Data...3933168697</v>
        <stp/>
        <stp>BDP|15997191393954848341</stp>
        <tr r="AM62" s="14"/>
      </tp>
      <tp t="s">
        <v>#N/A N/A</v>
        <stp/>
        <stp>BDP|10505708987421903457</stp>
        <tr r="I49" s="16"/>
      </tp>
      <tp t="s">
        <v>#N/A Requesting Data...4272874311</v>
        <stp/>
        <stp>BDP|15832938741563134157</stp>
        <tr r="AQ16" s="14"/>
      </tp>
      <tp t="s">
        <v>#N/A Requesting Data...3990825615</v>
        <stp/>
        <stp>BDP|12793893516386120772</stp>
        <tr r="AL60" s="14"/>
      </tp>
      <tp t="s">
        <v>#N/A Requesting Data...4270564659</v>
        <stp/>
        <stp>BDP|14540998952150344231</stp>
        <tr r="I66" s="14"/>
      </tp>
      <tp t="s">
        <v>#N/A N/A</v>
        <stp/>
        <stp>BDS|11669911228883551377</stp>
        <tr r="F62" s="12"/>
      </tp>
      <tp t="s">
        <v>#N/A Requesting Data...4085059437</v>
        <stp/>
        <stp>BDP|18427148038813251345</stp>
        <tr r="AD46" s="14"/>
      </tp>
      <tp t="s">
        <v>#N/A N/A</v>
        <stp/>
        <stp>BDP|12492108596661956152</stp>
        <tr r="G18" s="6"/>
      </tp>
      <tp t="s">
        <v>#N/A N/A</v>
        <stp/>
        <stp>BDP|17483655542707551889</stp>
        <tr r="V13" s="6"/>
      </tp>
      <tp t="s">
        <v>#N/A Requesting Data...4074739536</v>
        <stp/>
        <stp>BDP|12954329680717553408</stp>
        <tr r="AL43" s="14"/>
      </tp>
      <tp t="s">
        <v>#N/A Requesting Data...4177490570</v>
        <stp/>
        <stp>BDP|16079902170004731692</stp>
        <tr r="AT28" s="14"/>
      </tp>
      <tp t="s">
        <v>#N/A Requesting Data...4186014408</v>
        <stp/>
        <stp>BDP|11234821905990276363</stp>
        <tr r="AT96" s="14"/>
      </tp>
      <tp t="s">
        <v>#N/A Requesting Data...4118890155</v>
        <stp/>
        <stp>BDP|14026809325047424307</stp>
        <tr r="D87" s="12"/>
      </tp>
      <tp t="s">
        <v>#N/A Requesting Data...4246857321</v>
        <stp/>
        <stp>BDP|15951854813474897260</stp>
        <tr r="AE97" s="14"/>
      </tp>
      <tp t="s">
        <v>#N/A N/A</v>
        <stp/>
        <stp>BDP|15578392618074130940</stp>
        <tr r="U11" s="7"/>
      </tp>
      <tp t="s">
        <v>#N/A N/A</v>
        <stp/>
        <stp>BDP|18115302861691001610</stp>
        <tr r="AH75" s="14"/>
        <tr r="AH75" s="14"/>
      </tp>
      <tp t="s">
        <v>#N/A Requesting Data...4106644395</v>
        <stp/>
        <stp>BDP|15713831735685416143</stp>
        <tr r="K90" s="14"/>
        <tr r="K91" s="14"/>
      </tp>
      <tp t="s">
        <v>#N/A Requesting Data...4010467227</v>
        <stp/>
        <stp>BDP|15971095219947951904</stp>
        <tr r="AU77" s="14"/>
      </tp>
      <tp t="s">
        <v>#N/A Requesting Data...4139526325</v>
        <stp/>
        <stp>BDP|12658583248090517938</stp>
        <tr r="AK105" s="14"/>
      </tp>
      <tp t="s">
        <v>#N/A Requesting Data...4112298621</v>
        <stp/>
        <stp>BDP|10924145768908655534</stp>
        <tr r="AE15" s="14"/>
      </tp>
      <tp t="s">
        <v>#N/A Requesting Data...4282564068</v>
        <stp/>
        <stp>BDP|14475776295348078868</stp>
        <tr r="C31" s="16"/>
        <tr r="D33" s="14"/>
      </tp>
      <tp t="s">
        <v>#N/A Requesting Data...4087481302</v>
        <stp/>
        <stp>BDP|16630629744517307933</stp>
        <tr r="H86" s="14"/>
      </tp>
      <tp t="s">
        <v>#N/A Requesting Data...3939151340</v>
        <stp/>
        <stp>BDP|13118815751066775262</stp>
        <tr r="F88" s="14"/>
        <tr r="F88" s="14"/>
        <tr r="H86" s="16"/>
        <tr r="H86" s="16"/>
      </tp>
      <tp t="s">
        <v>#N/A Requesting Data...4037701634</v>
        <stp/>
        <stp>BDP|10302340118851998964</stp>
        <tr r="AQ70" s="14"/>
      </tp>
      <tp t="s">
        <v>#N/A N/A</v>
        <stp/>
        <stp>BDP|15080782467937729984</stp>
        <tr r="U14" s="4"/>
      </tp>
      <tp t="s">
        <v>#N/A N/A</v>
        <stp/>
        <stp>BDP|17124313890792466545</stp>
        <tr r="K83" s="16"/>
      </tp>
      <tp t="s">
        <v>#N/A Requesting Data...4200667692</v>
        <stp/>
        <stp>BDP|14724979418073835533</stp>
        <tr r="AD14" s="14"/>
      </tp>
      <tp t="s">
        <v>#N/A Requesting Data...4037174906</v>
        <stp/>
        <stp>BDP|15681847106625327242</stp>
        <tr r="AJ11" s="1"/>
      </tp>
      <tp t="s">
        <v>#N/A Requesting Data...4158663256</v>
        <stp/>
        <stp>BDP|18356468774888795953</stp>
        <tr r="AF104" s="14"/>
      </tp>
      <tp t="s">
        <v>#N/A Requesting Data...4047238559</v>
        <stp/>
        <stp>BDP|17112864054976803681</stp>
        <tr r="AT48" s="14"/>
      </tp>
      <tp t="s">
        <v>#N/A Requesting Data...4009058272</v>
        <stp/>
        <stp>BDP|17046753618592900971</stp>
        <tr r="E102" s="14"/>
        <tr r="D100" s="16"/>
      </tp>
      <tp t="s">
        <v>#N/A N/A</v>
        <stp/>
        <stp>BDP|12287938651607504365</stp>
        <tr r="AB15" s="4"/>
      </tp>
      <tp t="s">
        <v>#N/A Requesting Data...4041537783</v>
        <stp/>
        <stp>BDP|16335834313063410644</stp>
        <tr r="AR40" s="14"/>
      </tp>
      <tp t="s">
        <v>#N/A Requesting Data...4292413573</v>
        <stp/>
        <stp>BDP|16487000384430351408</stp>
        <tr r="H34" s="14"/>
      </tp>
      <tp t="s">
        <v>#N/A Requesting Data...4218998307</v>
        <stp/>
        <stp>BDP|12287809741454250020</stp>
        <tr r="D105" s="12"/>
      </tp>
      <tp t="s">
        <v>#N/A N/A</v>
        <stp/>
        <stp>BDP|10225650156770528972</stp>
        <tr r="T38" s="14"/>
        <tr r="T38" s="14"/>
      </tp>
      <tp t="s">
        <v>#N/A Requesting Data...4136016745</v>
        <stp/>
        <stp>BDP|13964884950890608450</stp>
        <tr r="E15" s="16"/>
      </tp>
      <tp t="s">
        <v>#N/A Requesting Data...4284356144</v>
        <stp/>
        <stp>BDP|13849662389126585107</stp>
        <tr r="D75" s="12"/>
      </tp>
      <tp t="s">
        <v>#N/A Requesting Data...4094987163</v>
        <stp/>
        <stp>BDP|15154177979959556086</stp>
        <tr r="E56" s="16"/>
      </tp>
      <tp t="s">
        <v>#N/A Requesting Data...4017895305</v>
        <stp/>
        <stp>BDP|18145689060936380484</stp>
        <tr r="K105" s="14"/>
        <tr r="K105" s="14"/>
      </tp>
      <tp t="s">
        <v>#N/A Requesting Data...4049249947</v>
        <stp/>
        <stp>BDP|17633507868679467788</stp>
        <tr r="AF51" s="14"/>
      </tp>
      <tp t="s">
        <v>#N/A Requesting Data...4178352316</v>
        <stp/>
        <stp>BDP|15489908087399883797</stp>
        <tr r="AN66" s="14"/>
      </tp>
      <tp t="s">
        <v>#N/A Requesting Data...4004989657</v>
        <stp/>
        <stp>BDP|11881720609748059418</stp>
        <tr r="K57" s="14"/>
      </tp>
      <tp t="s">
        <v>#N/A Requesting Data...4198459156</v>
        <stp/>
        <stp>BDP|15002343311265676817</stp>
        <tr r="AO54" s="14"/>
        <tr r="AO54" s="14"/>
      </tp>
      <tp t="s">
        <v>#N/A Requesting Data...4276666144</v>
        <stp/>
        <stp>BDP|14125870084637198965</stp>
        <tr r="I21" s="14"/>
        <tr r="I21" s="14"/>
      </tp>
      <tp t="s">
        <v>#N/A N/A</v>
        <stp/>
        <stp>BDP|15980578809462740858</stp>
        <tr r="E23" s="6"/>
      </tp>
      <tp t="s">
        <v>#N/A Requesting Data...4218941115</v>
        <stp/>
        <stp>BDP|11481831505670559326</stp>
        <tr r="G33" s="14"/>
      </tp>
      <tp t="s">
        <v>#N/A Requesting Data...4204985810</v>
        <stp/>
        <stp>BDP|14600751278897908975</stp>
        <tr r="G92" s="16"/>
      </tp>
      <tp t="s">
        <v>#N/A Requesting Data...4055206321</v>
        <stp/>
        <stp>BDP|10341204691000212156</stp>
        <tr r="C62" s="12"/>
      </tp>
      <tp t="s">
        <v>#N/A Requesting Data...4293243878</v>
        <stp/>
        <stp>BDP|12830914869816368171</stp>
        <tr r="I148" s="14"/>
        <tr r="I136" s="14"/>
        <tr r="I141" s="14"/>
        <tr r="I152" s="14"/>
        <tr r="I125" s="14"/>
        <tr r="I113" s="14"/>
        <tr r="I160" s="14"/>
        <tr r="I153" s="14"/>
        <tr r="I119" s="14"/>
        <tr r="I132" s="14"/>
        <tr r="I137" s="14"/>
        <tr r="I118" s="14"/>
        <tr r="I129" s="14"/>
        <tr r="I143" s="14"/>
        <tr r="I156" s="14"/>
        <tr r="I133" s="14"/>
        <tr r="I144" s="14"/>
        <tr r="I124" s="14"/>
        <tr r="I142" s="14"/>
        <tr r="I121" s="14"/>
        <tr r="I120" s="14"/>
        <tr r="I157" s="14"/>
        <tr r="I134" s="14"/>
        <tr r="I145" s="14"/>
        <tr r="I149" s="14"/>
        <tr r="I111" s="14"/>
        <tr r="I158" s="14"/>
        <tr r="I135" s="14"/>
        <tr r="I126" s="14"/>
        <tr r="I112" s="14"/>
        <tr r="I159" s="14"/>
        <tr r="I116" s="14"/>
        <tr r="I150" s="14"/>
        <tr r="I127" s="14"/>
        <tr r="I140" s="14"/>
        <tr r="I117" s="14"/>
        <tr r="I128" s="14"/>
        <tr r="I151" s="14"/>
        <tr r="I154" s="14"/>
        <tr r="I114" s="14"/>
        <tr r="I122" s="14"/>
        <tr r="I130" s="14"/>
        <tr r="I138" s="14"/>
        <tr r="I146" s="14"/>
        <tr r="I131" s="14"/>
        <tr r="I139" s="14"/>
        <tr r="I147" s="14"/>
        <tr r="I155" s="14"/>
        <tr r="I115" s="14"/>
        <tr r="I123" s="14"/>
      </tp>
      <tp t="s">
        <v>#N/A Requesting Data...4288934830</v>
        <stp/>
        <stp>BDP|15876886367828615950</stp>
        <tr r="H33" s="14"/>
      </tp>
      <tp t="s">
        <v>#N/A Requesting Data...4186719610</v>
        <stp/>
        <stp>BDP|11785705690442130724</stp>
        <tr r="AM24" s="14"/>
      </tp>
      <tp t="s">
        <v>#N/A Requesting Data...4292076003</v>
        <stp/>
        <stp>BDP|15051543031789825092</stp>
        <tr r="E55" s="14"/>
        <tr r="D53" s="16"/>
      </tp>
      <tp t="s">
        <v>#N/A Requesting Data...4009523152</v>
        <stp/>
        <stp>BDP|13319895670876898062</stp>
        <tr r="AM49" s="14"/>
      </tp>
      <tp t="s">
        <v>#N/A Requesting Data...4182928832</v>
        <stp/>
        <stp>BDP|15596916960112696261</stp>
        <tr r="AF86" s="14"/>
      </tp>
      <tp t="s">
        <v>#N/A Requesting Data...4066983449</v>
        <stp/>
        <stp>BDP|11361947305374482617</stp>
        <tr r="AH26" s="14"/>
      </tp>
      <tp t="s">
        <v>#N/A Requesting Data...4265945417</v>
        <stp/>
        <stp>BDP|12068049496794722527</stp>
        <tr r="K104" s="14"/>
      </tp>
      <tp t="s">
        <v>#N/A Requesting Data...4205489914</v>
        <stp/>
        <stp>BDP|12175945416781421106</stp>
        <tr r="AD80" s="14"/>
      </tp>
      <tp t="s">
        <v>#N/A N/A</v>
        <stp/>
        <stp>BDP|13551219293820939290</stp>
        <tr r="AH15" s="14"/>
        <tr r="AH15" s="14"/>
      </tp>
      <tp t="s">
        <v>#N/A Requesting Data...4215722157</v>
        <stp/>
        <stp>BDP|10663982413646813425</stp>
        <tr r="I39" s="14"/>
        <tr r="I39" s="14"/>
      </tp>
      <tp t="s">
        <v>#N/A N/A</v>
        <stp/>
        <stp>BDS|17464036220527120822</stp>
        <tr r="AI79" s="14"/>
        <tr r="AI79" s="14"/>
      </tp>
      <tp t="s">
        <v>#N/A Requesting Data...4290337363</v>
        <stp/>
        <stp>BDP|18429412856171507214</stp>
        <tr r="AL78" s="14"/>
      </tp>
      <tp t="s">
        <v>#N/A Requesting Data...4135534120</v>
        <stp/>
        <stp>BDP|14261948760236267723</stp>
        <tr r="E18" s="14"/>
        <tr r="D16" s="16"/>
      </tp>
      <tp t="s">
        <v>#N/A N/A</v>
        <stp/>
        <stp>BDP|13607555076452603959</stp>
        <tr r="L38" s="16"/>
      </tp>
      <tp t="s">
        <v>#N/A Requesting Data...4032021887</v>
        <stp/>
        <stp>BDP|10122325795184029409</stp>
        <tr r="D54" s="12"/>
      </tp>
      <tp t="s">
        <v>#N/A Requesting Data...4212036189</v>
        <stp/>
        <stp>BDP|14584495415343615892</stp>
        <tr r="AQ22" s="14"/>
      </tp>
      <tp t="s">
        <v>#N/A Requesting Data...4065125438</v>
        <stp/>
        <stp>BDP|17475469151584262871</stp>
        <tr r="AO39" s="14"/>
        <tr r="AO39" s="14"/>
      </tp>
      <tp t="s">
        <v>#N/A Requesting Data...4107854000</v>
        <stp/>
        <stp>BDP|13784078768006789994</stp>
        <tr r="AE69" s="14"/>
      </tp>
      <tp t="s">
        <v>#N/A Requesting Data...4243970887</v>
        <stp/>
        <stp>BDP|14324661317398709133</stp>
        <tr r="AL11" s="5"/>
      </tp>
      <tp t="s">
        <v>#N/A N/A</v>
        <stp/>
        <stp>BDP|10707612573478756340</stp>
        <tr r="P25" s="6"/>
      </tp>
      <tp t="s">
        <v>#N/A Requesting Data...4178641588</v>
        <stp/>
        <stp>BDP|11617230346269792428</stp>
        <tr r="I31" s="14"/>
      </tp>
      <tp t="s">
        <v>#N/A Requesting Data...4206564235</v>
        <stp/>
        <stp>BDP|13034962650627416241</stp>
        <tr r="E24" s="16"/>
      </tp>
      <tp t="s">
        <v>#N/A N/A</v>
        <stp/>
        <stp>BDP|11840894973436439200</stp>
        <tr r="AH38" s="14"/>
        <tr r="AH38" s="14"/>
      </tp>
      <tp t="s">
        <v>#N/A Requesting Data...4119505126</v>
        <stp/>
        <stp>BDP|11914040887503830043</stp>
        <tr r="AT83" s="14"/>
      </tp>
      <tp t="s">
        <v>#N/A N/A</v>
        <stp/>
        <stp>BDP|16489528686708749917</stp>
        <tr r="U23" s="6"/>
      </tp>
      <tp t="s">
        <v>#N/A N/A</v>
        <stp/>
        <stp>BDH|10890595885472428514</stp>
        <tr r="AI38" s="14"/>
        <tr r="AI39" s="14"/>
        <tr r="AI47" s="14"/>
        <tr r="AI45" s="14"/>
      </tp>
      <tp t="s">
        <v>#N/A N/A</v>
        <stp/>
        <stp>BDH|14281159718198832658</stp>
        <tr r="AI13" s="14"/>
      </tp>
      <tp t="s">
        <v>#N/A N/A</v>
        <stp/>
        <stp>BDH|12560473448260905868</stp>
        <tr r="AO11" s="5"/>
      </tp>
      <tp t="s">
        <v>#N/A N/A</v>
        <stp/>
        <stp>BADDPERIODS|15022665374798963238</stp>
        <tr r="AH59" s="14"/>
        <tr r="AH64" s="14"/>
      </tp>
      <tp t="s">
        <v>#N/A N/A</v>
        <stp/>
        <stp>BDH|16516944700812764725</stp>
        <tr r="X21" s="7"/>
      </tp>
      <tp t="s">
        <v>#N/A N/A</v>
        <stp/>
        <stp>BDH|18392404330570497513</stp>
        <tr r="AE97" s="14"/>
      </tp>
      <tp t="s">
        <v>#N/A N/A</v>
        <stp/>
        <stp>BDH|12004087886401195148</stp>
        <tr r="AE46" s="14"/>
      </tp>
      <tp t="s">
        <v>#N/A N/A</v>
        <stp/>
        <stp>BDH|13647249976368981475</stp>
        <tr r="AE24" s="14"/>
      </tp>
      <tp t="s">
        <v>#N/A N/A</v>
        <stp/>
        <stp>BDH|18318759452975809567</stp>
        <tr r="AI76" s="14"/>
      </tp>
      <tp t="s">
        <v>#N/A N/A</v>
        <stp/>
        <stp>BDH|14918896704766031097</stp>
        <tr r="AI81" s="14"/>
      </tp>
      <tp t="s">
        <v>#N/A N/A</v>
        <stp/>
        <stp>BADDPERIODS|14007709797887250370</stp>
        <tr r="AH104" s="14"/>
      </tp>
      <tp t="s">
        <v>#N/A N/A</v>
        <stp/>
        <stp>BDP|12130219474395855950</stp>
        <tr r="I38" s="16"/>
      </tp>
      <tp t="s">
        <v>#N/A Requesting Data...4106597410</v>
        <stp/>
        <stp>BDP|11137913548607267036</stp>
        <tr r="AU45" s="14"/>
      </tp>
      <tp t="s">
        <v>#N/A Requesting Data...4217665098</v>
        <stp/>
        <stp>BDP|12348972148530654433</stp>
        <tr r="AB34" s="14"/>
        <tr r="AB34" s="14"/>
      </tp>
      <tp t="s">
        <v>#N/A Requesting Data...4143919058</v>
        <stp/>
        <stp>BDP|14198804363601285096</stp>
        <tr r="H98" s="14"/>
      </tp>
      <tp t="s">
        <v>#N/A N/A</v>
        <stp/>
        <stp>BDP|10846301223512700849</stp>
        <tr r="N16" s="7"/>
      </tp>
      <tp t="s">
        <v>#N/A Requesting Data...4040917489</v>
        <stp/>
        <stp>BDP|13820208680840899284</stp>
        <tr r="I93" s="14"/>
        <tr r="I93" s="14"/>
      </tp>
      <tp t="s">
        <v>#N/A Requesting Data...4130729013</v>
        <stp/>
        <stp>BDP|12298046170187926971</stp>
        <tr r="V105" s="14"/>
      </tp>
      <tp t="s">
        <v>#N/A N/A</v>
        <stp/>
        <stp>BDP|11275614376929441292</stp>
        <tr r="J42" s="16"/>
      </tp>
      <tp t="s">
        <v>#N/A N/A</v>
        <stp/>
        <stp>BDP|11015721768983974885</stp>
        <tr r="T86" s="14"/>
        <tr r="T86" s="14"/>
      </tp>
      <tp t="s">
        <v>#N/A Requesting Data...4175724236</v>
        <stp/>
        <stp>BDP|10410589376269731062</stp>
        <tr r="AD85" s="14"/>
      </tp>
      <tp t="s">
        <v>#N/A Requesting Data...4191866995</v>
        <stp/>
        <stp>BDP|16823037928466834908</stp>
        <tr r="I110" s="14"/>
        <tr r="I110" s="14"/>
      </tp>
      <tp t="s">
        <v>#N/A N/A</v>
        <stp/>
        <stp>BDP|11490192383257717422</stp>
        <tr r="D18" s="6"/>
      </tp>
      <tp t="s">
        <v>#N/A Requesting Data...4173917396</v>
        <stp/>
        <stp>BDP|10483575981683004594</stp>
        <tr r="I11" s="14"/>
        <tr r="I11" s="14"/>
      </tp>
      <tp t="s">
        <v>#N/A N/A</v>
        <stp/>
        <stp>BDP|10435076888140117316</stp>
        <tr r="L21" s="16"/>
      </tp>
      <tp t="s">
        <v>#N/A N/A</v>
        <stp/>
        <stp>BDP|18273274040897881262</stp>
        <tr r="J21" s="14"/>
        <tr r="J21" s="14"/>
      </tp>
      <tp t="s">
        <v>#N/A Requesting Data...4146073883</v>
        <stp/>
        <stp>BDP|10151590226464250875</stp>
        <tr r="I65" s="14"/>
        <tr r="I65" s="14"/>
      </tp>
      <tp t="s">
        <v>#N/A Requesting Data...4281050672</v>
        <stp/>
        <stp>BDP|13390627102016141881</stp>
        <tr r="AT12" s="14"/>
      </tp>
      <tp t="s">
        <v>#N/A N/A</v>
        <stp/>
        <stp>BDP|18402208869784022375</stp>
        <tr r="U15" s="1"/>
      </tp>
      <tp t="s">
        <v>#N/A Requesting Data...4231841673</v>
        <stp/>
        <stp>BDP|18209388235765745627</stp>
        <tr r="AU92" s="14"/>
      </tp>
      <tp t="s">
        <v>#N/A Requesting Data...4229326415</v>
        <stp/>
        <stp>BDP|13988017889507817738</stp>
        <tr r="AR25" s="14"/>
      </tp>
      <tp t="s">
        <v>#N/A Requesting Data...4056445614</v>
        <stp/>
        <stp>BDP|15062873888397305967</stp>
        <tr r="AL99" s="14"/>
      </tp>
      <tp t="s">
        <v>#N/A Requesting Data...4071727743</v>
        <stp/>
        <stp>BDP|11910739306209659408</stp>
        <tr r="AN64" s="14"/>
      </tp>
      <tp t="s">
        <v>#N/A Requesting Data...4132538123</v>
        <stp/>
        <stp>BDP|13728735494102233480</stp>
        <tr r="G73" s="16"/>
      </tp>
      <tp t="s">
        <v>#N/A Requesting Data...4189045601</v>
        <stp/>
        <stp>BDP|16787244520404057999</stp>
        <tr r="AD55" s="14"/>
      </tp>
      <tp t="s">
        <v>#N/A N/A</v>
        <stp/>
        <stp>BDP|11465903104036490596</stp>
        <tr r="AA37" s="14"/>
      </tp>
      <tp t="s">
        <v>#N/A N/A</v>
        <stp/>
        <stp>BDP|11146633963439493387</stp>
        <tr r="E6" s="1"/>
      </tp>
      <tp t="s">
        <v>#N/A N/A</v>
        <stp/>
        <stp>BDP|12192361451266822939</stp>
        <tr r="K14" s="4"/>
      </tp>
      <tp t="s">
        <v>#N/A Requesting Data...4269362420</v>
        <stp/>
        <stp>BDP|16645185290530651551</stp>
        <tr r="AH110" s="14"/>
      </tp>
      <tp t="s">
        <v>#N/A Requesting Data...4153924436</v>
        <stp/>
        <stp>BDP|17356066299120329527</stp>
        <tr r="F104" s="16"/>
      </tp>
      <tp t="s">
        <v>#N/A Requesting Data...4128507023</v>
        <stp/>
        <stp>BDP|11965113185230208322</stp>
        <tr r="AH109" s="14"/>
      </tp>
      <tp t="s">
        <v>#N/A N/A</v>
        <stp/>
        <stp>BDP|12196875312146801605</stp>
        <tr r="L56" s="16"/>
      </tp>
      <tp t="s">
        <v>#N/A Requesting Data...4264265350</v>
        <stp/>
        <stp>BDP|15442288410009586459</stp>
        <tr r="H72" s="14"/>
      </tp>
      <tp t="s">
        <v>#N/A N/A</v>
        <stp/>
        <stp>BDP|11483329060088902733</stp>
        <tr r="AC11" s="5"/>
      </tp>
      <tp t="s">
        <v>#N/A Requesting Data...4075724504</v>
        <stp/>
        <stp>BDP|11700644752101944841</stp>
        <tr r="D37" s="16"/>
        <tr r="E39" s="14"/>
      </tp>
      <tp t="s">
        <v>#N/A Requesting Data...4067320460</v>
        <stp/>
        <stp>BDP|12659859940962940766</stp>
        <tr r="AH68" s="14"/>
      </tp>
      <tp t="s">
        <v>#N/A Requesting Data...4077173287</v>
        <stp/>
        <stp>BDP|13212676938925696871</stp>
        <tr r="AQ23" s="14"/>
      </tp>
      <tp t="s">
        <v>#N/A Requesting Data...4094669271</v>
        <stp/>
        <stp>BDP|12738087915860314866</stp>
        <tr r="I76" s="14"/>
        <tr r="I76" s="14"/>
      </tp>
      <tp t="s">
        <v>#N/A Requesting Data...4291899692</v>
        <stp/>
        <stp>BDP|11268445605099953754</stp>
        <tr r="AH59" s="14"/>
      </tp>
      <tp t="s">
        <v>#N/A N/A</v>
        <stp/>
        <stp>BDP|12319689745383034819</stp>
        <tr r="P15" s="7"/>
      </tp>
      <tp t="s">
        <v>#N/A N/A</v>
        <stp/>
        <stp>BDP|16772331615707727897</stp>
        <tr r="AH34" s="14"/>
        <tr r="AH34" s="14"/>
      </tp>
      <tp t="s">
        <v>#N/A Requesting Data...4089043521</v>
        <stp/>
        <stp>BDP|17716837794514720999</stp>
        <tr r="C51" s="16"/>
        <tr r="D53" s="14"/>
      </tp>
      <tp t="s">
        <v>#N/A Requesting Data...4093824476</v>
        <stp/>
        <stp>BDP|15828174594455251378</stp>
        <tr r="AH27" s="14"/>
      </tp>
      <tp t="s">
        <v>#N/A Requesting Data...4181819052</v>
        <stp/>
        <stp>BDP|15021144593623099597</stp>
        <tr r="H84" s="14"/>
      </tp>
      <tp t="s">
        <v>#N/A N/A</v>
        <stp/>
        <stp>BDP|11068657473858111396</stp>
        <tr r="J69" s="16"/>
        <tr r="J29" s="16"/>
        <tr r="J33" s="16"/>
        <tr r="J64" s="16"/>
        <tr r="J68" s="16"/>
        <tr r="J32" s="16"/>
      </tp>
      <tp t="s">
        <v>#N/A N/A</v>
        <stp/>
        <stp>BDP|17963863330731061617</stp>
        <tr r="I65" s="16"/>
        <tr r="I73" s="16"/>
        <tr r="I74" s="16"/>
        <tr r="I75" s="16"/>
        <tr r="I100" s="16"/>
        <tr r="I11" s="16"/>
        <tr r="I60" s="16"/>
      </tp>
      <tp t="s">
        <v>#N/A N/A</v>
        <stp/>
        <stp>BDP|18320745565644983659</stp>
        <tr r="I13" s="7"/>
      </tp>
      <tp t="s">
        <v>#N/A Requesting Data...4117593190</v>
        <stp/>
        <stp>BDP|12062923268904432209</stp>
        <tr r="AL73" s="14"/>
      </tp>
      <tp t="s">
        <v>#N/A Requesting Data...4215382509</v>
        <stp/>
        <stp>BDP|16295285382750813711</stp>
        <tr r="AQ42" s="14"/>
      </tp>
      <tp t="s">
        <v>#N/A N/A</v>
        <stp/>
        <stp>BDP|17681340553448242223</stp>
        <tr r="T15" s="14"/>
        <tr r="T15" s="14"/>
      </tp>
      <tp t="s">
        <v>#N/A Requesting Data...4247838085</v>
        <stp/>
        <stp>BDP|15446846535144003149</stp>
        <tr r="AT90" s="14"/>
        <tr r="AT91" s="14"/>
      </tp>
      <tp t="s">
        <v>#N/A Requesting Data...4179294760</v>
        <stp/>
        <stp>BDP|10943828255633944567</stp>
        <tr r="C88" s="14"/>
      </tp>
      <tp t="s">
        <v>#N/A Requesting Data...4207161359</v>
        <stp/>
        <stp>BDP|15238049822684020853</stp>
        <tr r="D63" s="16"/>
        <tr r="E65" s="14"/>
      </tp>
      <tp t="s">
        <v>#N/A N/A</v>
        <stp/>
        <stp>BDP|13089948911139797935</stp>
        <tr r="AH70" s="14"/>
        <tr r="AH70" s="14"/>
      </tp>
      <tp t="s">
        <v>#N/A Requesting Data...4238545044</v>
        <stp/>
        <stp>BDP|16320763398230822342</stp>
        <tr r="E12" s="16"/>
      </tp>
      <tp t="s">
        <v>#N/A N/A</v>
        <stp/>
        <stp>BDP|10237037897417164578</stp>
        <tr r="N13" s="6"/>
      </tp>
      <tp t="s">
        <v>#N/A Requesting Data...4264957560</v>
        <stp/>
        <stp>BDP|13383396524649722097</stp>
        <tr r="AN77" s="14"/>
      </tp>
      <tp t="s">
        <v>#N/A Requesting Data...4206925229</v>
        <stp/>
        <stp>BDP|17866897947291657104</stp>
        <tr r="AS18" s="14"/>
      </tp>
      <tp t="s">
        <v>#N/A Requesting Data...4173805469</v>
        <stp/>
        <stp>BDP|14275481608513156837</stp>
        <tr r="AF73" s="14"/>
      </tp>
      <tp t="s">
        <v>#N/A N/A</v>
        <stp/>
        <stp>BDS|14806730749034024815</stp>
        <tr r="AI93" s="14"/>
        <tr r="AI93" s="14"/>
      </tp>
      <tp t="s">
        <v>#N/A Requesting Data...4145981880</v>
        <stp/>
        <stp>BDP|12546909389689746180</stp>
        <tr r="AS107" s="14"/>
      </tp>
      <tp t="s">
        <v>#N/A Requesting Data...4217681489</v>
        <stp/>
        <stp>BDP|13077790299230222619</stp>
        <tr r="AR35" s="14"/>
      </tp>
      <tp t="s">
        <v>#N/A N/A</v>
        <stp/>
        <stp>BDP|13937856523605583795</stp>
        <tr r="AH67" s="14"/>
        <tr r="AH67" s="14"/>
      </tp>
      <tp t="s">
        <v>#N/A Requesting Data...4291170238</v>
        <stp/>
        <stp>BDP|13869207277985971853</stp>
        <tr r="AE103" s="14"/>
      </tp>
      <tp t="s">
        <v>#N/A Requesting Data...4146953502</v>
        <stp/>
        <stp>BDP|17565740957729755726</stp>
        <tr r="C72" s="12"/>
      </tp>
      <tp t="s">
        <v>#N/A Requesting Data...4130795931</v>
        <stp/>
        <stp>BDP|11906748755108813022</stp>
        <tr r="H54" s="14"/>
      </tp>
      <tp t="s">
        <v>#N/A Requesting Data...4102504109</v>
        <stp/>
        <stp>BDP|18075498795747742990</stp>
        <tr r="AB92" s="14"/>
        <tr r="AB92" s="14"/>
      </tp>
      <tp t="s">
        <v>#N/A Requesting Data...4160271100</v>
        <stp/>
        <stp>BDP|14622160095847309049</stp>
        <tr r="AO105" s="14"/>
        <tr r="AO105" s="14"/>
      </tp>
      <tp t="s">
        <v>#N/A Requesting Data...4134350792</v>
        <stp/>
        <stp>BDP|11006822048857113199</stp>
        <tr r="AH14" s="14"/>
      </tp>
      <tp t="s">
        <v>#N/A Requesting Data...4160263160</v>
        <stp/>
        <stp>BDP|17780210175840314920</stp>
        <tr r="E30" s="14"/>
        <tr r="D28" s="16"/>
      </tp>
      <tp t="s">
        <v>#N/A N/A</v>
        <stp/>
        <stp>BDP|12966936374154862342</stp>
        <tr r="N96" s="14"/>
      </tp>
      <tp t="s">
        <v>#N/A Requesting Data...4281065283</v>
        <stp/>
        <stp>BDP|14259924970898223972</stp>
        <tr r="AH33" s="14"/>
      </tp>
      <tp t="s">
        <v>#N/A Requesting Data...4109022847</v>
        <stp/>
        <stp>BDP|10822557752509382291</stp>
        <tr r="D48" s="16"/>
        <tr r="E50" s="14"/>
      </tp>
      <tp t="s">
        <v>#N/A Requesting Data...4202042991</v>
        <stp/>
        <stp>BDP|18328106762254471009</stp>
        <tr r="AB35" s="14"/>
        <tr r="AB35" s="14"/>
      </tp>
      <tp t="s">
        <v>#N/A N/A</v>
        <stp/>
        <stp>BDP|14075627582682030358</stp>
        <tr r="AB18" s="1"/>
      </tp>
      <tp t="s">
        <v>#N/A N/A</v>
        <stp/>
        <stp>BDP|11587739342899721068</stp>
        <tr r="S21" s="7"/>
      </tp>
      <tp t="s">
        <v>#N/A Requesting Data...4232553735</v>
        <stp/>
        <stp>BDP|11879964363714879100</stp>
        <tr r="I21" s="14"/>
      </tp>
      <tp t="s">
        <v>#N/A Requesting Data...4158521198</v>
        <stp/>
        <stp>BDP|10418630914365616902</stp>
        <tr r="H71" s="16"/>
        <tr r="H71" s="16"/>
        <tr r="F73" s="14"/>
        <tr r="F73" s="14"/>
      </tp>
      <tp t="s">
        <v>#N/A Requesting Data...4173297787</v>
        <stp/>
        <stp>BDP|10646196792675811605</stp>
        <tr r="AH17" s="14"/>
      </tp>
      <tp t="s">
        <v>#N/A Requesting Data...4273551109</v>
        <stp/>
        <stp>BDP|14982665096825550596</stp>
        <tr r="V30" s="14"/>
      </tp>
      <tp t="s">
        <v>#N/A Requesting Data...4212578808</v>
        <stp/>
        <stp>BDP|13143255752486669948</stp>
        <tr r="E74" s="16"/>
      </tp>
      <tp t="s">
        <v>#N/A Requesting Data...4152611093</v>
        <stp/>
        <stp>BDP|11476084612368230389</stp>
        <tr r="AQ76" s="14"/>
      </tp>
      <tp t="s">
        <v>#N/A Requesting Data...4126337478</v>
        <stp/>
        <stp>BDP|17147808266444636657</stp>
        <tr r="G107" s="16"/>
      </tp>
      <tp t="s">
        <v>#N/A Requesting Data...4188338287</v>
        <stp/>
        <stp>BDP|18253015346132433553</stp>
        <tr r="V100" s="14"/>
      </tp>
      <tp t="s">
        <v>#N/A Requesting Data...4245830642</v>
        <stp/>
        <stp>BDP|13076768622814948996</stp>
        <tr r="C69" s="14"/>
      </tp>
      <tp t="s">
        <v>#N/A Requesting Data...4168365245</v>
        <stp/>
        <stp>BDP|11367668123887469965</stp>
        <tr r="AP68" s="14"/>
      </tp>
      <tp t="s">
        <v>#N/A N/A</v>
        <stp/>
        <stp>BDP|18394325805406521663</stp>
        <tr r="AB22" s="1"/>
      </tp>
      <tp t="s">
        <v>#N/A Requesting Data...4293181084</v>
        <stp/>
        <stp>BDP|12244788838699735426</stp>
        <tr r="C68" s="14"/>
      </tp>
      <tp t="s">
        <v>#N/A Requesting Data...4245104624</v>
        <stp/>
        <stp>BDP|15779116041143045808</stp>
        <tr r="G95" s="16"/>
      </tp>
      <tp t="s">
        <v>#N/A Requesting Data...4135612435</v>
        <stp/>
        <stp>BDP|14177627792639602905</stp>
        <tr r="AU50" s="14"/>
      </tp>
      <tp t="s">
        <v>#N/A Requesting Data...4194423592</v>
        <stp/>
        <stp>BDP|17128445953504626977</stp>
        <tr r="F15" s="12"/>
      </tp>
      <tp t="s">
        <v>#N/A N/A</v>
        <stp/>
        <stp>BDP|18230454422101348414</stp>
        <tr r="S13" s="6"/>
      </tp>
      <tp t="s">
        <v>#N/A Requesting Data...4146795662</v>
        <stp/>
        <stp>BDP|17918902662801525280</stp>
        <tr r="AF23" s="14"/>
      </tp>
      <tp t="s">
        <v>#N/A Requesting Data...4252831759</v>
        <stp/>
        <stp>BDP|15429814640812353004</stp>
        <tr r="AL80" s="14"/>
      </tp>
      <tp t="s">
        <v>#N/A Requesting Data...4192842840</v>
        <stp/>
        <stp>BDP|12406012185910218145</stp>
        <tr r="D70" s="16"/>
        <tr r="E72" s="14"/>
      </tp>
      <tp t="s">
        <v>#N/A Requesting Data...4242525279</v>
        <stp/>
        <stp>BDP|11740825702247542549</stp>
        <tr r="AS86" s="14"/>
      </tp>
      <tp t="s">
        <v>#N/A N/A</v>
        <stp/>
        <stp>BDP|18416403023680816594</stp>
        <tr r="T20" s="6"/>
      </tp>
      <tp t="s">
        <v>#N/A N/A</v>
        <stp/>
        <stp>BADDPERIODS|17589939519060348003</stp>
        <tr r="AH107" s="14"/>
      </tp>
      <tp t="s">
        <v>#N/A N/A</v>
        <stp/>
        <stp>BDH|11579875647882531404</stp>
        <tr r="AE36" s="14"/>
      </tp>
      <tp t="s">
        <v>#N/A N/A</v>
        <stp/>
        <stp>BADDPERIODS|17984050667867477929</stp>
        <tr r="AE11" s="1"/>
        <tr r="AE19" s="1"/>
        <tr r="AE27" s="1"/>
        <tr r="AE12" s="1"/>
        <tr r="AE20" s="1"/>
        <tr r="AE28" s="1"/>
        <tr r="AE23" s="1"/>
        <tr r="AE24" s="1"/>
        <tr r="AE17" s="1"/>
        <tr r="AE25" s="1"/>
        <tr r="AE22" s="1"/>
        <tr r="AE15" s="1"/>
        <tr r="AE16" s="1"/>
        <tr r="AE21" s="1"/>
        <tr r="AE14" s="1"/>
        <tr r="AE18" s="1"/>
        <tr r="AE26" s="1"/>
        <tr r="AE13" s="1"/>
      </tp>
      <tp t="s">
        <v>#N/A N/A</v>
        <stp/>
        <stp>BDH|15889747198089377907</stp>
        <tr r="AI91" s="14"/>
        <tr r="AI90" s="14"/>
      </tp>
      <tp t="s">
        <v>#N/A N/A</v>
        <stp/>
        <stp>BADDPERIODS|14017796054830550926</stp>
        <tr r="AH52" s="14"/>
      </tp>
      <tp t="s">
        <v>#N/A N/A</v>
        <stp/>
        <stp>BDH|14805733390623872258</stp>
        <tr r="AI82" s="14"/>
      </tp>
      <tp t="s">
        <v>#N/A N/A</v>
        <stp/>
        <stp>BDH|11446231439979449232</stp>
        <tr r="AO22" s="1"/>
      </tp>
      <tp t="s">
        <v>#N/A N/A</v>
        <stp/>
        <stp>BADDPERIODS|15194525827968305527</stp>
        <tr r="AH108" s="14"/>
      </tp>
      <tp t="s">
        <v>#N/A N/A</v>
        <stp/>
        <stp>BDH|13952458608169869571</stp>
        <tr r="AE40" s="14"/>
      </tp>
      <tp t="s">
        <v>#N/A N/A</v>
        <stp/>
        <stp>BDH|17985939158442167289</stp>
        <tr r="Y12" s="6"/>
      </tp>
      <tp t="s">
        <v>#N/A N/A</v>
        <stp/>
        <stp>BDH|16274819435337922157</stp>
        <tr r="AE64" s="14"/>
      </tp>
      <tp t="s">
        <v>#N/A N/A</v>
        <stp/>
        <stp>BDH|18142787877683382000</stp>
        <tr r="AE27" s="14"/>
      </tp>
      <tp t="s">
        <v>#N/A N/A</v>
        <stp/>
        <stp>BADDPERIODS|10404808715037868191</stp>
        <tr r="J12" s="6"/>
        <tr r="J16" s="6"/>
        <tr r="J18" s="6"/>
        <tr r="J23" s="6"/>
        <tr r="N12" s="1"/>
        <tr r="N13" s="1"/>
        <tr r="N14" s="1"/>
        <tr r="N16" s="1"/>
        <tr r="N17" s="1"/>
        <tr r="N23" s="1"/>
        <tr r="J13" s="6"/>
        <tr r="J14" s="6"/>
        <tr r="J15" s="6"/>
        <tr r="J17" s="6"/>
        <tr r="J19" s="6"/>
        <tr r="J20" s="6"/>
        <tr r="J21" s="6"/>
        <tr r="J22" s="6"/>
        <tr r="J24" s="6"/>
        <tr r="J25" s="6"/>
        <tr r="J13" s="7"/>
        <tr r="J14" s="7"/>
        <tr r="J15" s="7"/>
        <tr r="J16" s="7"/>
        <tr r="J17" s="7"/>
        <tr r="J21" s="7"/>
        <tr r="J22" s="7"/>
        <tr r="J24" s="7"/>
        <tr r="N11" s="1"/>
        <tr r="N19" s="1"/>
        <tr r="N22" s="1"/>
        <tr r="N11" s="5"/>
        <tr r="J11" s="6"/>
        <tr r="J18" s="7"/>
        <tr r="N12" s="4"/>
        <tr r="N13" s="4"/>
        <tr r="N14" s="4"/>
        <tr r="N15" s="4"/>
        <tr r="J12" s="7"/>
        <tr r="J20" s="7"/>
        <tr r="J25" s="7"/>
        <tr r="J11" s="7"/>
        <tr r="N15" s="1"/>
        <tr r="N18" s="1"/>
        <tr r="N20" s="1"/>
        <tr r="N21" s="1"/>
        <tr r="N11" s="4"/>
      </tp>
      <tp t="s">
        <v>#N/A N/A</v>
        <stp/>
        <stp>BADDPERIODS|15934843735281392095</stp>
        <tr r="AH53" s="14"/>
      </tp>
    </main>
    <main first="bofaddin.rtdserver">
      <tp t="s">
        <v>#N/A Requesting Data...4248069266</v>
        <stp/>
        <stp>BDP|16822965013913041540</stp>
        <tr r="F66" s="16"/>
      </tp>
      <tp t="s">
        <v>#N/A N/A</v>
        <stp/>
        <stp>BDP|10123867500209898966</stp>
        <tr r="D13" s="6"/>
      </tp>
      <tp t="s">
        <v>#N/A N/A</v>
        <stp/>
        <stp>BDP|17203688897383416302</stp>
        <tr r="D24" s="6"/>
      </tp>
      <tp t="s">
        <v>#N/A Requesting Data...4215927901</v>
        <stp/>
        <stp>BDP|12115993376534567022</stp>
        <tr r="G62" s="16"/>
      </tp>
      <tp t="s">
        <v>#N/A Requesting Data...4261181671</v>
        <stp/>
        <stp>BDP|15708282844318221302</stp>
        <tr r="AO29" s="14"/>
        <tr r="AO29" s="14"/>
      </tp>
      <tp t="s">
        <v>#N/A N/A</v>
        <stp/>
        <stp>BDP|12575801178773180658</stp>
        <tr r="Z17" s="1"/>
      </tp>
      <tp t="s">
        <v>#N/A N/A</v>
        <stp/>
        <stp>BDP|11845687824765506881</stp>
        <tr r="D13" s="7"/>
      </tp>
      <tp t="s">
        <v>#N/A N/A</v>
        <stp/>
        <stp>BDP|17830824714335044375</stp>
        <tr r="AH65" s="14"/>
        <tr r="AH65" s="14"/>
      </tp>
      <tp t="s">
        <v>#N/A N/A</v>
        <stp/>
        <stp>BDP|13939972734780429170</stp>
        <tr r="T12" s="7"/>
      </tp>
      <tp t="s">
        <v>#N/A Requesting Data...4239013724</v>
        <stp/>
        <stp>BDP|13594148548557603960</stp>
        <tr r="AK110" s="14"/>
      </tp>
    </main>
    <main first="bofaddin.rtdserver">
      <tp t="s">
        <v>#N/A Requesting Data...4157701350</v>
        <stp/>
        <stp>BDP|12489821986332818802</stp>
        <tr r="AS44" s="14"/>
      </tp>
      <tp t="s">
        <v>#N/A N/A</v>
        <stp/>
        <stp>BDP|16791217613618428592</stp>
        <tr r="S22" s="1"/>
      </tp>
      <tp t="s">
        <v>#N/A Requesting Data...4253300075</v>
        <stp/>
        <stp>BDP|11857061606990766976</stp>
        <tr r="AQ18" s="14"/>
      </tp>
      <tp t="s">
        <v>#N/A N/A</v>
        <stp/>
        <stp>BDP|16854920135046207258</stp>
        <tr r="T13" s="6"/>
      </tp>
      <tp t="s">
        <v>#N/A Requesting Data...4234804253</v>
        <stp/>
        <stp>BDP|11512890876634714255</stp>
        <tr r="AO46" s="14"/>
        <tr r="AO46" s="14"/>
      </tp>
      <tp t="s">
        <v>#N/A Requesting Data...4291107856</v>
        <stp/>
        <stp>BDP|11579619632345794996</stp>
        <tr r="I66" s="14"/>
        <tr r="I66" s="14"/>
      </tp>
      <tp t="s">
        <v>#N/A Requesting Data...4288116537</v>
        <stp/>
        <stp>BDP|15635363686612707494</stp>
        <tr r="H91" s="16"/>
        <tr r="H91" s="16"/>
        <tr r="F93" s="14"/>
        <tr r="F93" s="14"/>
      </tp>
      <tp t="s">
        <v>#N/A Requesting Data...4187844475</v>
        <stp/>
        <stp>BDP|16738416348706772811</stp>
        <tr r="I15" s="1"/>
      </tp>
      <tp t="s">
        <v>#N/A Requesting Data...4280475900</v>
        <stp/>
        <stp>BDP|16055547431698430093</stp>
        <tr r="AD83" s="14"/>
      </tp>
      <tp t="s">
        <v>#N/A Requesting Data...4189692868</v>
        <stp/>
        <stp>BDP|11108812412648999806</stp>
        <tr r="F41" s="16"/>
      </tp>
      <tp t="s">
        <v>#N/A Requesting Data...4264185614</v>
        <stp/>
        <stp>BDP|12073801599898562372</stp>
        <tr r="AM41" s="14"/>
      </tp>
      <tp t="s">
        <v>#N/A N/A</v>
        <stp/>
        <stp>BDP|11461949834457672493</stp>
        <tr r="AH80" s="14"/>
        <tr r="AH80" s="14"/>
      </tp>
      <tp t="s">
        <v>#N/A Requesting Data...4282754164</v>
        <stp/>
        <stp>BDP|14480221867698811020</stp>
        <tr r="AE38" s="14"/>
      </tp>
      <tp t="s">
        <v>#N/A Requesting Data...4230355505</v>
        <stp/>
        <stp>BDP|10735693856613496872</stp>
        <tr r="D95" s="12"/>
      </tp>
      <tp t="s">
        <v>#N/A Requesting Data...4176867881</v>
        <stp/>
        <stp>BDP|17473923945242919014</stp>
        <tr r="AQ108" s="14"/>
      </tp>
      <tp t="s">
        <v>#N/A N/A</v>
        <stp/>
        <stp>BDP|18188573019343686721</stp>
        <tr r="I23" s="7"/>
      </tp>
      <tp t="s">
        <v>#N/A Requesting Data...4280138673</v>
        <stp/>
        <stp>BDP|18424494126443837580</stp>
        <tr r="D100" s="12"/>
      </tp>
      <tp t="s">
        <v>#N/A Requesting Data...4237259804</v>
        <stp/>
        <stp>BDP|14793099198367466295</stp>
        <tr r="D11" s="5"/>
      </tp>
      <tp t="s">
        <v>#N/A Requesting Data...4289052752</v>
        <stp/>
        <stp>BDP|15854804264904673718</stp>
        <tr r="AK11" s="5"/>
      </tp>
      <tp t="s">
        <v>#N/A Requesting Data...4285165621</v>
        <stp/>
        <stp>BDP|16914299731576297982</stp>
        <tr r="AS89" s="14"/>
      </tp>
      <tp t="s">
        <v>#N/A N/A</v>
        <stp/>
        <stp>BDP|17453375789800816480</stp>
        <tr r="S16" s="1"/>
      </tp>
      <tp t="s">
        <v>#N/A Requesting Data...4198858941</v>
        <stp/>
        <stp>BDP|12673369718149121133</stp>
        <tr r="AH44" s="14"/>
      </tp>
      <tp t="s">
        <v>#N/A Requesting Data...4255688609</v>
        <stp/>
        <stp>BDP|13653340079607838893</stp>
        <tr r="F86" s="16"/>
      </tp>
      <tp t="s">
        <v>#N/A Requesting Data...4194306339</v>
        <stp/>
        <stp>BDP|12902418881114789243</stp>
        <tr r="E17" s="16"/>
      </tp>
      <tp t="s">
        <v>#N/A N/A</v>
        <stp/>
        <stp>BDP|14298809293285901822</stp>
        <tr r="I18" s="16"/>
      </tp>
      <tp t="s">
        <v>#N/A Requesting Data...4190433612</v>
        <stp/>
        <stp>BDP|15802990512592882766</stp>
        <tr r="I73" s="14"/>
        <tr r="I73" s="14"/>
      </tp>
      <tp t="s">
        <v>#N/A Requesting Data...4187620025</v>
        <stp/>
        <stp>BDP|12164939537970881007</stp>
        <tr r="AU103" s="14"/>
      </tp>
      <tp t="s">
        <v>#N/A Requesting Data...4272920105</v>
        <stp/>
        <stp>BDP|10852279574805794813</stp>
        <tr r="K11" s="4"/>
      </tp>
      <tp t="s">
        <v>#N/A Requesting Data...4235713061</v>
        <stp/>
        <stp>BDP|11024891513392254258</stp>
        <tr r="AT99" s="14"/>
      </tp>
      <tp t="s">
        <v>#N/A Requesting Data...4292667032</v>
        <stp/>
        <stp>BDP|14333224097926806132</stp>
        <tr r="V106" s="14"/>
      </tp>
      <tp t="s">
        <v>#N/A N/A</v>
        <stp/>
        <stp>BDP|15494009959368089007</stp>
        <tr r="P20" s="6"/>
      </tp>
      <tp t="s">
        <v>#N/A N/A</v>
        <stp/>
        <stp>BDP|16288528787455927633</stp>
        <tr r="K72" s="16"/>
        <tr r="K50" s="16"/>
        <tr r="K51" s="16"/>
        <tr r="K70" s="16"/>
        <tr r="K48" s="16"/>
      </tp>
    </main>
    <main first="bofaddin.rtdserver">
      <tp t="s">
        <v>#N/A Requesting Data...4235251010</v>
        <stp/>
        <stp>BDP|14244540819130361808</stp>
        <tr r="AS38" s="14"/>
      </tp>
      <tp t="s">
        <v>#N/A Requesting Data...4249411568</v>
        <stp/>
        <stp>BDP|11830859109423807201</stp>
        <tr r="F61" s="16"/>
      </tp>
      <tp t="s">
        <v>#N/A Requesting Data...4204690713</v>
        <stp/>
        <stp>BDP|14214071715914451983</stp>
        <tr r="H48" s="14"/>
      </tp>
      <tp t="s">
        <v>#N/A Requesting Data...4214048275</v>
        <stp/>
        <stp>BDP|11058132959868348556</stp>
        <tr r="AQ40" s="14"/>
      </tp>
      <tp t="s">
        <v>#N/A N/A</v>
        <stp/>
        <stp>BDP|13319646594700953465</stp>
        <tr r="I23" s="6"/>
      </tp>
      <tp t="s">
        <v>#N/A Requesting Data...4267423862</v>
        <stp/>
        <stp>BDP|13237356723542924815</stp>
        <tr r="AQ61" s="14"/>
      </tp>
      <tp t="s">
        <v>#N/A Requesting Data...4266755789</v>
        <stp/>
        <stp>BDP|14637999342521586040</stp>
        <tr r="C19" s="12"/>
        <tr r="C19" s="12"/>
      </tp>
      <tp t="s">
        <v>#N/A Requesting Data...4224688780</v>
        <stp/>
        <stp>BDP|10933415533726350940</stp>
        <tr r="AO45" s="14"/>
        <tr r="AO45" s="14"/>
      </tp>
      <tp t="s">
        <v>#N/A Requesting Data...4278861699</v>
        <stp/>
        <stp>BDP|15018820058483262347</stp>
        <tr r="F20" s="1"/>
      </tp>
      <tp t="s">
        <v>#N/A N/A</v>
        <stp/>
        <stp>BDP|10834172580902145316</stp>
        <tr r="T58" s="14"/>
        <tr r="T58" s="14"/>
      </tp>
      <tp t="s">
        <v>#N/A N/A</v>
        <stp/>
        <stp>BDP|13980900721212676210</stp>
        <tr r="T31" s="14"/>
        <tr r="T31" s="14"/>
      </tp>
      <tp t="s">
        <v>#N/A N/A</v>
        <stp/>
        <stp>BDP|18364238309852426027</stp>
        <tr r="J11" s="14"/>
        <tr r="J11" s="14"/>
      </tp>
      <tp t="s">
        <v>#N/A Requesting Data...4222983855</v>
        <stp/>
        <stp>BDP|17193982290826301951</stp>
        <tr r="C86" s="16"/>
        <tr r="D88" s="14"/>
      </tp>
      <tp t="s">
        <v>#N/A Requesting Data...4275565518</v>
        <stp/>
        <stp>BDP|14307937345476944731</stp>
        <tr r="I99" s="14"/>
        <tr r="I99" s="14"/>
      </tp>
      <tp t="s">
        <v>#N/A Requesting Data...4284018048</v>
        <stp/>
        <stp>BDP|17049498217179665362</stp>
        <tr r="G28" s="16"/>
      </tp>
      <tp t="s">
        <v>#N/A Requesting Data...4253467029</v>
        <stp/>
        <stp>BDP|15064994134617130028</stp>
        <tr r="AF41" s="14"/>
      </tp>
      <tp t="s">
        <v>#N/A Requesting Data...4259694037</v>
        <stp/>
        <stp>BDP|17873827054705101719</stp>
        <tr r="F33" s="16"/>
      </tp>
      <tp t="s">
        <v>#N/A N/A</v>
        <stp/>
        <stp>BDP|16191590374049211509</stp>
        <tr r="W11" s="6"/>
      </tp>
      <tp t="s">
        <v>#N/A Requesting Data...4248236376</v>
        <stp/>
        <stp>BDP|12968371923673397809</stp>
        <tr r="AE83" s="14"/>
      </tp>
    </main>
    <main first="bofaddin.rtdserver">
      <tp t="s">
        <v>#N/A Requesting Data...4242479243</v>
        <stp/>
        <stp>BDP|11343885973771994704</stp>
        <tr r="AO86" s="14"/>
        <tr r="AO86" s="14"/>
      </tp>
      <tp t="s">
        <v>#N/A N/A</v>
        <stp/>
        <stp>BDP|13137129165199535525</stp>
        <tr r="AH61" s="14"/>
        <tr r="AH61" s="14"/>
      </tp>
      <tp t="s">
        <v>#N/A N/A</v>
        <stp/>
        <stp>BDS|10768746687861020666</stp>
        <tr r="P39" s="12"/>
      </tp>
      <tp t="s">
        <v>#N/A Requesting Data...4233188376</v>
        <stp/>
        <stp>BDP|14538317797735260304</stp>
        <tr r="AR107" s="14"/>
      </tp>
      <tp t="s">
        <v>#N/A N/A</v>
        <stp/>
        <stp>BDP|11183956037942751152</stp>
        <tr r="AA12" s="4"/>
      </tp>
      <tp t="s">
        <v>#N/A Requesting Data...4293355281</v>
        <stp/>
        <stp>BDP|17140126292344345332</stp>
        <tr r="V104" s="14"/>
      </tp>
      <tp t="s">
        <v>#N/A Requesting Data...4232582776</v>
        <stp/>
        <stp>BDP|18263767771123473302</stp>
        <tr r="H55" s="14"/>
      </tp>
      <tp t="s">
        <v>#N/A Requesting Data...4245241562</v>
        <stp/>
        <stp>BDP|10819648847229896326</stp>
        <tr r="AD94" s="14"/>
      </tp>
      <tp t="s">
        <v>#N/A Requesting Data...4247591944</v>
        <stp/>
        <stp>BDP|16401238937989274632</stp>
        <tr r="AO56" s="14"/>
        <tr r="AO56" s="14"/>
      </tp>
      <tp t="s">
        <v>#N/A Requesting Data...4243767024</v>
        <stp/>
        <stp>BDP|15025053083854655106</stp>
        <tr r="AS45" s="14"/>
      </tp>
      <tp t="s">
        <v>#N/A N/A</v>
        <stp/>
        <stp>BDP|12820639393672821706</stp>
        <tr r="N14" s="6"/>
      </tp>
      <tp t="s">
        <v>#N/A Requesting Data...4231404176</v>
        <stp/>
        <stp>BDP|14722540554955649911</stp>
        <tr r="AD31" s="14"/>
      </tp>
      <tp t="s">
        <v>#N/A Requesting Data...4275752082</v>
        <stp/>
        <stp>BDP|11541991346770370496</stp>
        <tr r="AT16" s="14"/>
      </tp>
      <tp t="s">
        <v>#N/A N/A</v>
        <stp/>
        <stp>BDP|14030045759651879855</stp>
        <tr r="E21" s="6"/>
      </tp>
      <tp t="s">
        <v>#N/A Requesting Data...4287371179</v>
        <stp/>
        <stp>BDP|12388310580347583671</stp>
        <tr r="C69" s="16"/>
        <tr r="D71" s="14"/>
      </tp>
      <tp t="s">
        <v>#N/A N/A</v>
        <stp/>
        <stp>BDP|11225481719164457876</stp>
        <tr r="I88" s="16"/>
        <tr r="I89" s="16"/>
      </tp>
      <tp t="s">
        <v>#N/A Requesting Data...4274783721</v>
        <stp/>
        <stp>BDP|13868616116074671893</stp>
        <tr r="G96" s="16"/>
      </tp>
    </main>
    <main first="bofaddin.rtdserver">
      <tp t="s">
        <v>#N/A Requesting Data...4250888450</v>
        <stp/>
        <stp>BDP|14583754036198620034</stp>
        <tr r="AQ89" s="14"/>
      </tp>
      <tp t="s">
        <v>#N/A N/A</v>
        <stp/>
        <stp>BDS|12311963688792586987</stp>
        <tr r="AI28" s="14"/>
        <tr r="AI28" s="14"/>
      </tp>
      <tp t="s">
        <v>#N/A Requesting Data...4271315534</v>
        <stp/>
        <stp>BDP|14742942313562547669</stp>
        <tr r="D81" s="12"/>
      </tp>
      <tp t="s">
        <v>#N/A Requesting Data...4286854585</v>
        <stp/>
        <stp>BDP|14677315199956843052</stp>
        <tr r="AR51" s="14"/>
      </tp>
      <tp t="s">
        <v>#N/A Requesting Data...4287794992</v>
        <stp/>
        <stp>BDP|14055203697537682029</stp>
        <tr r="AO18" s="14"/>
        <tr r="AO18" s="14"/>
      </tp>
      <tp t="s">
        <v>#N/A Requesting Data...4250177856</v>
        <stp/>
        <stp>BDP|12640703591251303570</stp>
        <tr r="I25" s="1"/>
        <tr r="I13" s="5"/>
        <tr r="I24" s="1"/>
        <tr r="I16" s="4"/>
        <tr r="I12" s="5"/>
        <tr r="I19" s="4"/>
        <tr r="I20" s="4"/>
        <tr r="I21" s="4"/>
        <tr r="E27" s="6"/>
        <tr r="I26" s="1"/>
        <tr r="I28" s="1"/>
        <tr r="I27" s="1"/>
        <tr r="E28" s="6"/>
        <tr r="I17" s="4"/>
        <tr r="I18" s="4"/>
      </tp>
      <tp t="s">
        <v>#N/A Requesting Data...4263811114</v>
        <stp/>
        <stp>BDP|12650431695340212712</stp>
        <tr r="AT67" s="14"/>
      </tp>
      <tp t="s">
        <v>#N/A Requesting Data...4249960811</v>
        <stp/>
        <stp>BDP|10331566958538748090</stp>
        <tr r="AN29" s="14"/>
      </tp>
      <tp t="s">
        <v>#N/A Requesting Data...4255577503</v>
        <stp/>
        <stp>BDP|18269906423619089234</stp>
        <tr r="AJ15" s="1"/>
      </tp>
      <tp t="s">
        <v>#N/A Requesting Data...4279343261</v>
        <stp/>
        <stp>BDP|16311154806567799856</stp>
        <tr r="D60" s="16"/>
        <tr r="E62" s="14"/>
      </tp>
      <tp t="s">
        <v>#N/A Requesting Data...4293175781</v>
        <stp/>
        <stp>BDP|14213918844924747528</stp>
        <tr r="AL107" s="14"/>
      </tp>
      <tp t="s">
        <v>#N/A Requesting Data...4260106263</v>
        <stp/>
        <stp>BDP|12041693039587037822</stp>
        <tr r="AR30" s="14"/>
      </tp>
      <tp t="s">
        <v>#N/A Requesting Data...4277587942</v>
        <stp/>
        <stp>BDP|17998441013902926853</stp>
        <tr r="D54" s="16"/>
        <tr r="E56" s="14"/>
      </tp>
      <tp t="s">
        <v>#N/A Requesting Data...4282256509</v>
        <stp/>
        <stp>BDP|18130228459986121197</stp>
        <tr r="D74" s="16"/>
        <tr r="E76" s="14"/>
      </tp>
      <tp t="s">
        <v>#N/A N/A</v>
        <stp/>
        <stp>BDP|15233345795377414052</stp>
        <tr r="F23" s="6"/>
      </tp>
      <tp t="s">
        <v>#N/A Requesting Data...4292085447</v>
        <stp/>
        <stp>BDP|11489212317083684964</stp>
        <tr r="AH42" s="14"/>
      </tp>
    </main>
    <main first="bofaddin.rtdserver">
      <tp t="s">
        <v>#N/A N/A</v>
        <stp/>
        <stp>BDP|15588650837251009920</stp>
        <tr r="I106" s="16"/>
      </tp>
      <tp t="s">
        <v>#N/A Requesting Data...4288279706</v>
        <stp/>
        <stp>BDP|13865789032067606815</stp>
        <tr r="AQ79" s="14"/>
      </tp>
      <tp t="s">
        <v>#N/A Requesting Data...4282750055</v>
        <stp/>
        <stp>BDP|16784857375925689447</stp>
        <tr r="AB26" s="14"/>
        <tr r="AB26" s="14"/>
      </tp>
      <tp t="s">
        <v>#N/A Requesting Data...4280510764</v>
        <stp/>
        <stp>BDP|17709636643824023922</stp>
        <tr r="F106" s="16"/>
      </tp>
      <tp t="s">
        <v>#N/A Requesting Data...4269185109</v>
        <stp/>
        <stp>BDP|12551903751070325628</stp>
        <tr r="E20" s="16"/>
      </tp>
      <tp t="s">
        <v>#N/A N/A</v>
        <stp/>
        <stp>BDP|12934038658648324743</stp>
        <tr r="E26" s="6"/>
      </tp>
      <tp t="s">
        <v>#N/A Requesting Data...4288397428</v>
        <stp/>
        <stp>BDP|13887491623819760404</stp>
        <tr r="AS99" s="14"/>
      </tp>
      <tp t="s">
        <v>#N/A N/A</v>
        <stp/>
        <stp>BDP|16159614656858581563</stp>
        <tr r="AA22" s="1"/>
      </tp>
      <tp t="s">
        <v>#N/A N/A</v>
        <stp/>
        <stp>BDP|11727933632472314103</stp>
        <tr r="J12" s="4"/>
      </tp>
      <tp t="s">
        <v>#N/A Requesting Data...4284364488</v>
        <stp/>
        <stp>BDP|13130417506317708842</stp>
        <tr r="AK83" s="14"/>
      </tp>
      <tp t="s">
        <v>#N/A Requesting Data...4292820259</v>
        <stp/>
        <stp>BDP|17346854423223905696</stp>
        <tr r="D64" s="14"/>
        <tr r="C62" s="16"/>
      </tp>
      <tp t="s">
        <v>#N/A N/A</v>
        <stp/>
        <stp>BDP|14075161757990471812</stp>
        <tr r="N17" s="7"/>
      </tp>
      <tp t="s">
        <v>#N/A Requesting Data...4293244482</v>
        <stp/>
        <stp>BDP|11417319471628423545</stp>
        <tr r="AR59" s="14"/>
      </tp>
      <tp t="s">
        <v>#N/A Requesting Data...4287190116</v>
        <stp/>
        <stp>BDP|17706665789087869644</stp>
        <tr r="AF40" s="14"/>
      </tp>
      <tp t="s">
        <v>#N/A Requesting Data...4286087804</v>
        <stp/>
        <stp>BDP|15752550295265687459</stp>
        <tr r="E28" s="16"/>
      </tp>
      <tp t="s">
        <v>#N/A Requesting Data...4285983774</v>
        <stp/>
        <stp>BDP|18139650246756123472</stp>
        <tr r="C102" s="16"/>
        <tr r="D104" s="14"/>
      </tp>
      <tp t="s">
        <v>#N/A N/A</v>
        <stp/>
        <stp>BDP|13495238216740133841</stp>
        <tr r="I19" s="16"/>
        <tr r="I77" s="16"/>
      </tp>
      <tp t="s">
        <v>#N/A Requesting Data...4286256077</v>
        <stp/>
        <stp>BDP|18102974304569580000</stp>
        <tr r="AE57" s="14"/>
      </tp>
      <tp t="s">
        <v>#N/A Requesting Data...4290877665</v>
        <stp/>
        <stp>BDP|17203757696339483824</stp>
        <tr r="K74" s="14"/>
      </tp>
      <tp t="s">
        <v>#N/A Requesting Data...4294251097</v>
        <stp/>
        <stp>BDP|15110534461027541919</stp>
        <tr r="E32" s="16"/>
      </tp>
      <tp t="s">
        <v>#N/A Requesting Data...4291890590</v>
        <stp/>
        <stp>BDP|16733217186207460338</stp>
        <tr r="AO37" s="14"/>
        <tr r="AO37" s="14"/>
      </tp>
      <tp t="s">
        <v>#N/A Requesting Data...4292711059</v>
        <stp/>
        <stp>BDP|13693823011280351212</stp>
        <tr r="D30" s="16"/>
        <tr r="E32" s="14"/>
      </tp>
      <tp t="s">
        <v>#N/A Requesting Data...4293011906</v>
        <stp/>
        <stp>BDP|18013809984623501363</stp>
        <tr r="D31" s="16"/>
        <tr r="E33" s="14"/>
      </tp>
      <tp t="s">
        <v>#N/A Requesting Data...4293069645</v>
        <stp/>
        <stp>BDP|11386595492137955264</stp>
        <tr r="AH101" s="14"/>
      </tp>
      <tp t="s">
        <v>#N/A Requesting Data...4294844485</v>
        <stp/>
        <stp>BDP|13103279664867783824</stp>
        <tr r="H45" s="16"/>
        <tr r="H45" s="16"/>
        <tr r="F47" s="14"/>
        <tr r="F47" s="14"/>
      </tp>
      <tp t="s">
        <v>#N/A Requesting Data...619991828</v>
        <stp/>
        <stp>BDP|14145830817751147437</stp>
        <tr r="G36" s="16"/>
      </tp>
      <tp t="s">
        <v>#N/A Requesting Data...537021659</v>
        <stp/>
        <stp>BDP|13322867506651157256</stp>
        <tr r="AD33" s="14"/>
      </tp>
      <tp t="s">
        <v>#N/A N/A</v>
        <stp/>
        <stp>BDP|16251741544849197440</stp>
        <tr r="AH60" s="14"/>
        <tr r="AH60" s="14"/>
      </tp>
      <tp t="s">
        <v>#N/A Requesting Data...1075516094</v>
        <stp/>
        <stp>BDP|12150848762732989689</stp>
        <tr r="AU104" s="14"/>
      </tp>
      <tp t="s">
        <v>#N/A Requesting Data...3431871203</v>
        <stp/>
        <stp>BDP|11134016682916530711</stp>
        <tr r="F11" s="14"/>
        <tr r="F11" s="14"/>
        <tr r="H9" s="16"/>
        <tr r="H9" s="16"/>
      </tp>
      <tp t="s">
        <v>#N/A Requesting Data...2395848186</v>
        <stp/>
        <stp>BDP|11490962483450360844</stp>
        <tr r="E38" s="14"/>
        <tr r="D36" s="16"/>
      </tp>
      <tp t="s">
        <v>#N/A N/A</v>
        <stp/>
        <stp>BDP|18402904301500702946</stp>
        <tr r="AC12" s="4"/>
      </tp>
      <tp t="s">
        <v>#N/A N/A</v>
        <stp/>
        <stp>BDH|12760129380921686222</stp>
        <tr r="AO20" s="1"/>
      </tp>
      <tp t="s">
        <v>#N/A N/A</v>
        <stp/>
        <stp>BDH|15535100783561243553</stp>
        <tr r="W23" s="7"/>
      </tp>
      <tp t="s">
        <v>#N/A N/A</v>
        <stp/>
        <stp>BDH|10547609280002061467</stp>
        <tr r="AD15" s="4"/>
      </tp>
      <tp t="s">
        <v>#N/A N/A</v>
        <stp/>
        <stp>BDH|13097444940229448225</stp>
        <tr r="X24" s="7"/>
      </tp>
      <tp t="s">
        <v>#N/A N/A</v>
        <stp/>
        <stp>BDH|14201816308897959308</stp>
        <tr r="AE71" s="14"/>
      </tp>
    </main>
    <main first="bofaddin.rtdserver">
      <tp t="s">
        <v>#N/A N/A</v>
        <stp/>
        <stp>BDH|12765422106966595807</stp>
        <tr r="X15" s="7"/>
      </tp>
    </main>
    <main first="bofaddin.rtdserver">
      <tp t="s">
        <v>#N/A N/A</v>
        <stp/>
        <stp>BADDPERIODS|11393703866789175517</stp>
        <tr r="AH34" s="14"/>
      </tp>
    </main>
    <main first="bofaddin.rtdserver">
      <tp t="s">
        <v>#N/A N/A</v>
        <stp/>
        <stp>BDH|14993398273388108097</stp>
        <tr r="Y24" s="6"/>
      </tp>
      <tp t="s">
        <v>#N/A N/A</v>
        <stp/>
        <stp>BADDPERIODS|11296132694015747040</stp>
        <tr r="AH19" s="14"/>
      </tp>
    </main>
    <main first="bofaddin.rtdserver">
      <tp t="s">
        <v>#N/A N/A</v>
        <stp/>
        <stp>BDH|13754802510972946042</stp>
        <tr r="AI96" s="14"/>
      </tp>
    </main>
    <main first="bofaddin.rtdserver">
      <tp t="s">
        <v>#N/A N/A</v>
        <stp/>
        <stp>BDH|14393626366035309987</stp>
        <tr r="W20" s="7"/>
      </tp>
    </main>
    <main first="bofaddin.rtdserver">
      <tp t="s">
        <v>#N/A Requesting Data...610729411</v>
        <stp/>
        <stp>BDP|11684231862835988972</stp>
        <tr r="AU68" s="14"/>
      </tp>
      <tp t="s">
        <v>#N/A Requesting Data...2919823361</v>
        <stp/>
        <stp>BDP|15472636102989402384</stp>
        <tr r="C54" s="12"/>
      </tp>
      <tp t="s">
        <v>#N/A N/A</v>
        <stp/>
        <stp>BDP|17960131376618155048</stp>
        <tr r="R20" s="1"/>
      </tp>
      <tp t="s">
        <v>#N/A Requesting Data...100963070</v>
        <stp/>
        <stp>BDP|10715657606159488699</stp>
        <tr r="AB14" s="14"/>
        <tr r="AB14" s="14"/>
      </tp>
      <tp t="s">
        <v>#N/A Requesting Data...3008214964</v>
        <stp/>
        <stp>BDP|15651567489588324933</stp>
        <tr r="G20" s="16"/>
      </tp>
      <tp t="s">
        <v>#N/A Requesting Data...2098351368</v>
        <stp/>
        <stp>BDP|12405738917109967419</stp>
        <tr r="AL20" s="14"/>
      </tp>
      <tp t="s">
        <v>#N/A N/A</v>
        <stp/>
        <stp>BDP|12656950901126290488</stp>
        <tr r="U14" s="1"/>
      </tp>
      <tp t="s">
        <v>#N/A Requesting Data...1046697811</v>
        <stp/>
        <stp>BDP|15495780384337201415</stp>
        <tr r="AR36" s="14"/>
      </tp>
      <tp t="s">
        <v>#N/A Requesting Data...404084885</v>
        <stp/>
        <stp>BDP|14713309133955833871</stp>
        <tr r="AU73" s="14"/>
      </tp>
      <tp t="s">
        <v>#N/A Requesting Data...749963549</v>
        <stp/>
        <stp>BDP|14664100772173660893</stp>
        <tr r="C50" s="14"/>
      </tp>
      <tp t="s">
        <v>#N/A N/A</v>
        <stp/>
        <stp>BDP|15299958980115901850</stp>
        <tr r="K84" s="16"/>
        <tr r="K86" s="16"/>
        <tr r="K87" s="16"/>
      </tp>
      <tp t="s">
        <v>#N/A Requesting Data...3856497749</v>
        <stp/>
        <stp>BDP|17556804536433863603</stp>
        <tr r="H54" s="16"/>
        <tr r="H54" s="16"/>
        <tr r="F56" s="14"/>
        <tr r="F56" s="14"/>
      </tp>
      <tp t="s">
        <v>#N/A N/A</v>
        <stp/>
        <stp>BDP|13567691447008958095</stp>
        <tr r="X37" s="14"/>
      </tp>
      <tp t="s">
        <v>#N/A Requesting Data...3153668076</v>
        <stp/>
        <stp>BDP|13908040223479714123</stp>
        <tr r="G20" s="14"/>
      </tp>
      <tp t="s">
        <v>#N/A Requesting Data...1476019974</v>
        <stp/>
        <stp>BDP|15171855893549847445</stp>
        <tr r="C36" s="14"/>
      </tp>
      <tp t="s">
        <v>#N/A Requesting Data...2222673877</v>
        <stp/>
        <stp>BDP|16159882471176044637</stp>
        <tr r="H87" s="14"/>
      </tp>
      <tp t="s">
        <v>#N/A Requesting Data...445868501</v>
        <stp/>
        <stp>BDP|12420093383846355569</stp>
        <tr r="I148" s="14"/>
        <tr r="I136" s="14"/>
        <tr r="I141" s="14"/>
        <tr r="I152" s="14"/>
        <tr r="I125" s="14"/>
        <tr r="I113" s="14"/>
        <tr r="I160" s="14"/>
        <tr r="I153" s="14"/>
        <tr r="I119" s="14"/>
        <tr r="I132" s="14"/>
        <tr r="I137" s="14"/>
        <tr r="I118" s="14"/>
        <tr r="I129" s="14"/>
        <tr r="I143" s="14"/>
        <tr r="I156" s="14"/>
        <tr r="I133" s="14"/>
        <tr r="I144" s="14"/>
        <tr r="I124" s="14"/>
        <tr r="I142" s="14"/>
        <tr r="I121" s="14"/>
        <tr r="I120" s="14"/>
        <tr r="I157" s="14"/>
        <tr r="I134" s="14"/>
        <tr r="I145" s="14"/>
        <tr r="I149" s="14"/>
        <tr r="I111" s="14"/>
        <tr r="I158" s="14"/>
        <tr r="I135" s="14"/>
        <tr r="I126" s="14"/>
        <tr r="I112" s="14"/>
        <tr r="I159" s="14"/>
        <tr r="I116" s="14"/>
        <tr r="I150" s="14"/>
        <tr r="I127" s="14"/>
        <tr r="I140" s="14"/>
        <tr r="I117" s="14"/>
        <tr r="I128" s="14"/>
        <tr r="I151" s="14"/>
        <tr r="I154" s="14"/>
        <tr r="I114" s="14"/>
        <tr r="I122" s="14"/>
        <tr r="I130" s="14"/>
        <tr r="I138" s="14"/>
        <tr r="I146" s="14"/>
        <tr r="I131" s="14"/>
        <tr r="I139" s="14"/>
        <tr r="I147" s="14"/>
        <tr r="I155" s="14"/>
        <tr r="I115" s="14"/>
        <tr r="I123" s="14"/>
      </tp>
      <tp t="s">
        <v>#N/A Requesting Data...1282789593</v>
        <stp/>
        <stp>BDP|15981764277945300901</stp>
        <tr r="D25" s="16"/>
        <tr r="E27" s="14"/>
      </tp>
      <tp t="s">
        <v>#N/A Requesting Data...2273292712</v>
        <stp/>
        <stp>BDP|11545961951483182792</stp>
        <tr r="I20" s="1"/>
      </tp>
      <tp t="s">
        <v>#N/A Requesting Data...3359443894</v>
        <stp/>
        <stp>BDP|16463848747596915542</stp>
        <tr r="F52" s="16"/>
      </tp>
      <tp t="s">
        <v>#N/A N/A</v>
        <stp/>
        <stp>BDS|15053919400803898600</stp>
        <tr r="P36" s="12"/>
      </tp>
      <tp t="s">
        <v>#N/A N/A</v>
        <stp/>
        <stp>BDP|10337294456787296945</stp>
        <tr r="I25" s="7"/>
      </tp>
      <tp t="s">
        <v>#N/A Requesting Data...3265203151</v>
        <stp/>
        <stp>BDP|12534576939889168408</stp>
        <tr r="I25" s="14"/>
        <tr r="I25" s="14"/>
      </tp>
      <tp t="s">
        <v>#N/A Requesting Data...3265268034</v>
        <stp/>
        <stp>BDP|11345804076216831173</stp>
        <tr r="G52" s="14"/>
      </tp>
      <tp t="s">
        <v>#N/A Requesting Data...2405523091</v>
        <stp/>
        <stp>BDP|15885770493492734018</stp>
        <tr r="C11" s="12"/>
      </tp>
      <tp t="s">
        <v>#N/A Requesting Data...4149187585</v>
        <stp/>
        <stp>BDP|12366380309538051080</stp>
        <tr r="AP66" s="14"/>
      </tp>
      <tp t="s">
        <v>#N/A Requesting Data...2452466923</v>
        <stp/>
        <stp>BDP|10261019157728134480</stp>
        <tr r="G105" s="16"/>
      </tp>
      <tp t="s">
        <v>#N/A Requesting Data...3771709995</v>
        <stp/>
        <stp>BDP|15864900548098895955</stp>
        <tr r="C65" s="16"/>
        <tr r="D67" s="14"/>
      </tp>
      <tp t="s">
        <v>#N/A Requesting Data...813053413</v>
        <stp/>
        <stp>BDP|16632190365961576927</stp>
        <tr r="C75" s="12"/>
      </tp>
      <tp t="s">
        <v>#N/A Requesting Data...447059751</v>
        <stp/>
        <stp>BDP|15017336559899701306</stp>
        <tr r="C58" s="12"/>
      </tp>
      <tp t="s">
        <v>#N/A Requesting Data...3165282655</v>
        <stp/>
        <stp>BDP|12823842453483689544</stp>
        <tr r="AD41" s="14"/>
      </tp>
      <tp t="s">
        <v>#N/A Requesting Data...2708796599</v>
        <stp/>
        <stp>BDP|16283002466169868013</stp>
        <tr r="C35" s="14"/>
      </tp>
      <tp t="s">
        <v>#N/A Requesting Data...791348230</v>
        <stp/>
        <stp>BDP|17219446956026884952</stp>
        <tr r="AO97" s="14"/>
        <tr r="AO97" s="14"/>
      </tp>
      <tp t="s">
        <v>#N/A Requesting Data...2522217069</v>
        <stp/>
        <stp>BDP|14913433267636177910</stp>
        <tr r="F23" s="14"/>
        <tr r="F23" s="14"/>
        <tr r="H21" s="16"/>
        <tr r="H21" s="16"/>
      </tp>
      <tp t="s">
        <v>#N/A Requesting Data...2561890066</v>
        <stp/>
        <stp>BDP|11566282572568004520</stp>
        <tr r="D62" s="12"/>
      </tp>
      <tp t="s">
        <v>#N/A Requesting Data...977112673</v>
        <stp/>
        <stp>BDP|17665286753100385922</stp>
        <tr r="K21" s="1"/>
      </tp>
      <tp t="s">
        <v>#N/A Requesting Data...155668429</v>
        <stp/>
        <stp>BDP|10557767321645822968</stp>
        <tr r="AD82" s="14"/>
      </tp>
      <tp t="s">
        <v>#N/A Requesting Data...2248435092</v>
        <stp/>
        <stp>BDP|10299946820447965506</stp>
        <tr r="V107" s="14"/>
      </tp>
      <tp t="s">
        <v>#N/A N/A</v>
        <stp/>
        <stp>BDP|11369057274578952748</stp>
        <tr r="Y37" s="14"/>
      </tp>
      <tp t="s">
        <v>#N/A N/A</v>
        <stp/>
        <stp>BDP|14951873742860325103</stp>
        <tr r="U23" s="1"/>
      </tp>
      <tp t="s">
        <v>#N/A N/A</v>
        <stp/>
        <stp>BDP|12404520551062071988</stp>
        <tr r="AH79" s="14"/>
      </tp>
      <tp t="s">
        <v>#N/A N/A</v>
        <stp/>
        <stp>BDP|18257809716251254994</stp>
        <tr r="G14" s="4"/>
      </tp>
      <tp t="s">
        <v>#N/A N/A</v>
        <stp/>
        <stp>BDP|16469416486916913556</stp>
        <tr r="AH24" s="14"/>
        <tr r="AH24" s="14"/>
      </tp>
      <tp t="s">
        <v>#N/A Requesting Data...3078704419</v>
        <stp/>
        <stp>BDP|12675883521855923498</stp>
        <tr r="AM32" s="14"/>
      </tp>
      <tp t="s">
        <v>#N/A N/A</v>
        <stp/>
        <stp>BDP|16194669951035915918</stp>
        <tr r="G11" s="1"/>
      </tp>
      <tp t="s">
        <v>#N/A Requesting Data...894949992</v>
        <stp/>
        <stp>BDP|12985502074678642150</stp>
        <tr r="AS66" s="14"/>
      </tp>
      <tp t="s">
        <v>#N/A Requesting Data...2382635022</v>
        <stp/>
        <stp>BDP|12495398647399285565</stp>
        <tr r="AR31" s="14"/>
      </tp>
      <tp t="s">
        <v>#N/A Requesting Data...68946790</v>
        <stp/>
        <stp>BDP|15293992425791638660</stp>
        <tr r="AF89" s="14"/>
      </tp>
      <tp t="s">
        <v>#N/A Requesting Data...1078564630</v>
        <stp/>
        <stp>BDP|11994832394548660166</stp>
        <tr r="AK72" s="14"/>
      </tp>
      <tp t="s">
        <v>#N/A Requesting Data...560951919</v>
        <stp/>
        <stp>BDP|17591900257571903351</stp>
        <tr r="AE110" s="14"/>
      </tp>
      <tp t="s">
        <v>#N/A Requesting Data...2663388502</v>
        <stp/>
        <stp>BDP|13053873569151204525</stp>
        <tr r="G58" s="16"/>
      </tp>
      <tp t="s">
        <v>#N/A Requesting Data...3314851486</v>
        <stp/>
        <stp>BDP|12450857324786219793</stp>
        <tr r="C68" s="12"/>
      </tp>
      <tp t="s">
        <v>#N/A Requesting Data...715349332</v>
        <stp/>
        <stp>BDP|11911046550715116827</stp>
        <tr r="AK25" s="14"/>
      </tp>
      <tp t="s">
        <v>#N/A Requesting Data...2425753424</v>
        <stp/>
        <stp>BDP|13943756276193179951</stp>
        <tr r="V77" s="14"/>
      </tp>
      <tp t="s">
        <v>#N/A Requesting Data...2351141005</v>
        <stp/>
        <stp>BDP|10140820333135395726</stp>
        <tr r="AT19" s="14"/>
      </tp>
      <tp t="s">
        <v>#N/A Requesting Data...2078826681</v>
        <stp/>
        <stp>BDP|10545164695943128264</stp>
        <tr r="H11" s="4"/>
      </tp>
      <tp t="s">
        <v>#N/A Requesting Data...2982236378</v>
        <stp/>
        <stp>BDP|13089349594594935484</stp>
        <tr r="I15" s="14"/>
        <tr r="I15" s="14"/>
      </tp>
      <tp t="s">
        <v>#N/A Requesting Data...3992602712</v>
        <stp/>
        <stp>BDP|15156398276518688092</stp>
        <tr r="F13" s="12"/>
      </tp>
      <tp t="s">
        <v>#N/A Requesting Data...2638187357</v>
        <stp/>
        <stp>BDP|16819301492793861630</stp>
        <tr r="G16" s="16"/>
      </tp>
      <tp t="s">
        <v>#N/A Requesting Data...1152955234</v>
        <stp/>
        <stp>BDP|14325266489836845159</stp>
        <tr r="AT65" s="14"/>
      </tp>
      <tp t="s">
        <v>#N/A N/A</v>
        <stp/>
        <stp>BDP|18243669336670340409</stp>
        <tr r="T62" s="14"/>
        <tr r="T62" s="14"/>
      </tp>
      <tp t="s">
        <v>#N/A Requesting Data...2920828912</v>
        <stp/>
        <stp>BDP|13842521384213914462</stp>
        <tr r="AE42" s="14"/>
      </tp>
      <tp t="s">
        <v>#N/A Requesting Data...2076535576</v>
        <stp/>
        <stp>BDP|14687624419472943858</stp>
        <tr r="C55" s="12"/>
      </tp>
      <tp t="s">
        <v>#N/A N/A</v>
        <stp/>
        <stp>BDP|12046331443149647574</stp>
        <tr r="Y14" s="4"/>
      </tp>
      <tp t="s">
        <v>#N/A N/A</v>
        <stp/>
        <stp>BDP|13633629300804793830</stp>
        <tr r="S23" s="1"/>
      </tp>
      <tp t="s">
        <v>#N/A N/A</v>
        <stp/>
        <stp>BDP|12833431389531086626</stp>
        <tr r="T76" s="14"/>
        <tr r="T76" s="14"/>
      </tp>
      <tp t="s">
        <v>#N/A Requesting Data...624263942</v>
        <stp/>
        <stp>BDP|15986625888294671651</stp>
        <tr r="AN68" s="14"/>
      </tp>
      <tp t="s">
        <v>#N/A N/A</v>
        <stp/>
        <stp>BDP|10607958212800643177</stp>
        <tr r="U13" s="7"/>
      </tp>
      <tp t="s">
        <v>#N/A Requesting Data...4072805591</v>
        <stp/>
        <stp>BDP|12885784192107401256</stp>
        <tr r="AO67" s="14"/>
        <tr r="AO67" s="14"/>
      </tp>
      <tp t="s">
        <v>#N/A Requesting Data...3155051938</v>
        <stp/>
        <stp>BDP|13094226390108819991</stp>
        <tr r="I87" s="14"/>
        <tr r="I87" s="14"/>
      </tp>
      <tp t="s">
        <v>#N/A Requesting Data...1796764031</v>
        <stp/>
        <stp>BDP|13919193084572570120</stp>
        <tr r="V93" s="14"/>
      </tp>
      <tp t="s">
        <v>#N/A Requesting Data...211960491</v>
        <stp/>
        <stp>BDP|13338177726800694972</stp>
        <tr r="K65" s="14"/>
      </tp>
      <tp t="s">
        <v>#N/A Requesting Data...2546236786</v>
        <stp/>
        <stp>BDP|14759525457969088417</stp>
        <tr r="C87" s="14"/>
      </tp>
      <tp t="s">
        <v>#N/A Requesting Data...2632277141</v>
        <stp/>
        <stp>BDP|10469928997948091136</stp>
        <tr r="E107" s="16"/>
      </tp>
      <tp t="s">
        <v>#N/A N/A</v>
        <stp/>
        <stp>BDP|13071037123700267809</stp>
        <tr r="T19" s="7"/>
      </tp>
      <tp t="s">
        <v>#N/A Requesting Data...2422022461</v>
        <stp/>
        <stp>BDP|14561345175318261149</stp>
        <tr r="AD79" s="14"/>
      </tp>
      <tp t="s">
        <v>#N/A Requesting Data...462059937</v>
        <stp/>
        <stp>BDP|13702350839209849318</stp>
        <tr r="C102" s="14"/>
      </tp>
      <tp t="s">
        <v>#N/A Requesting Data...1298287560</v>
        <stp/>
        <stp>BDP|15051987758667678743</stp>
        <tr r="AE80" s="14"/>
      </tp>
      <tp t="s">
        <v>#N/A Requesting Data...1363689893</v>
        <stp/>
        <stp>BDP|14453803163131157247</stp>
        <tr r="J20" s="1"/>
      </tp>
      <tp t="s">
        <v>#N/A N/A</v>
        <stp/>
        <stp>BDP|16106832661461313023</stp>
        <tr r="J82" s="14"/>
        <tr r="J82" s="14"/>
      </tp>
      <tp t="s">
        <v>#N/A Requesting Data...1373490292</v>
        <stp/>
        <stp>BDP|10880049081994008582</stp>
        <tr r="M11" s="4"/>
      </tp>
      <tp t="s">
        <v>#N/A N/A</v>
        <stp/>
        <stp>BDP|13373229821428700225</stp>
        <tr r="AA96" s="14"/>
      </tp>
      <tp t="s">
        <v>#N/A Requesting Data...392133743</v>
        <stp/>
        <stp>BDP|14860166458999386003</stp>
        <tr r="AO72" s="14"/>
        <tr r="AO72" s="14"/>
      </tp>
      <tp t="s">
        <v>#N/A Requesting Data...821854758</v>
        <stp/>
        <stp>BDP|16699471210929750334</stp>
        <tr r="AS71" s="14"/>
      </tp>
      <tp t="s">
        <v>#N/A Requesting Data...1253124557</v>
        <stp/>
        <stp>BDP|16796599188157581569</stp>
        <tr r="F29" s="16"/>
      </tp>
      <tp t="s">
        <v>#N/A Requesting Data...2520964896</v>
        <stp/>
        <stp>BDP|10302064682946581772</stp>
        <tr r="F91" s="16"/>
      </tp>
      <tp t="s">
        <v>#N/A Requesting Data...2293748137</v>
        <stp/>
        <stp>BDP|18372983814340803921</stp>
        <tr r="AS85" s="14"/>
      </tp>
      <tp t="s">
        <v>#N/A Requesting Data...3542045896</v>
        <stp/>
        <stp>BDP|10582932715395089465</stp>
        <tr r="AR21" s="14"/>
      </tp>
      <tp t="s">
        <v>#N/A N/A</v>
        <stp/>
        <stp>BDP|18094208621297794621</stp>
        <tr r="AA14" s="4"/>
      </tp>
      <tp t="s">
        <v>#N/A Requesting Data...332634929</v>
        <stp/>
        <stp>BDP|15413877912982258771</stp>
        <tr r="AE34" s="14"/>
      </tp>
      <tp t="s">
        <v>#N/A Requesting Data...2399137071</v>
        <stp/>
        <stp>BDP|11667220248486883800</stp>
        <tr r="M13" s="5"/>
        <tr r="M25" s="1"/>
        <tr r="M24" s="1"/>
        <tr r="M16" s="4"/>
        <tr r="M12" s="5"/>
        <tr r="M21" s="4"/>
        <tr r="M18" s="4"/>
        <tr r="M28" s="1"/>
        <tr r="I27" s="6"/>
        <tr r="M26" s="1"/>
        <tr r="I28" s="6"/>
        <tr r="M17" s="4"/>
        <tr r="M19" s="4"/>
        <tr r="M20" s="4"/>
        <tr r="M27" s="1"/>
      </tp>
      <tp t="s">
        <v>#N/A Requesting Data...2804532977</v>
        <stp/>
        <stp>BDP|18189547646393475332</stp>
        <tr r="C14" s="14"/>
      </tp>
      <tp t="s">
        <v>#N/A Requesting Data...1967269916</v>
        <stp/>
        <stp>BDP|17738480769359289507</stp>
        <tr r="AD42" s="14"/>
      </tp>
      <tp t="s">
        <v>#N/A Requesting Data...2529447479</v>
        <stp/>
        <stp>BDP|11241851618804371587</stp>
        <tr r="AK28" s="14"/>
      </tp>
      <tp t="s">
        <v>#N/A Requesting Data...1907161466</v>
        <stp/>
        <stp>BDP|10626424004789656423</stp>
        <tr r="AE84" s="14"/>
      </tp>
      <tp t="s">
        <v>#N/A Requesting Data...2475188038</v>
        <stp/>
        <stp>BDP|13314810020640245078</stp>
        <tr r="AB18" s="14"/>
        <tr r="AB18" s="14"/>
      </tp>
      <tp t="s">
        <v>#N/A Requesting Data...3768037853</v>
        <stp/>
        <stp>BDP|18144978651448917591</stp>
        <tr r="AO74" s="14"/>
        <tr r="AO74" s="14"/>
      </tp>
      <tp t="s">
        <v>#N/A Requesting Data...1644920752</v>
        <stp/>
        <stp>BDP|14999681765545364806</stp>
        <tr r="D9" s="16"/>
        <tr r="E11" s="14"/>
      </tp>
      <tp t="s">
        <v>#N/A Requesting Data...2367151918</v>
        <stp/>
        <stp>BDP|15057246683270443649</stp>
        <tr r="D52" s="14"/>
        <tr r="C50" s="16"/>
      </tp>
      <tp t="s">
        <v>#N/A Requesting Data...1872073894</v>
        <stp/>
        <stp>BDP|14542805400103613640</stp>
        <tr r="AL18" s="1"/>
      </tp>
      <tp t="s">
        <v>#N/A Requesting Data...3721113173</v>
        <stp/>
        <stp>BDP|16608840933303563734</stp>
        <tr r="E107" s="14"/>
        <tr r="D105" s="16"/>
      </tp>
      <tp t="s">
        <v>#N/A Requesting Data...1500659461</v>
        <stp/>
        <stp>BDP|11476775196380492668</stp>
        <tr r="AE64" s="14"/>
      </tp>
      <tp t="s">
        <v>#N/A Requesting Data...698231539</v>
        <stp/>
        <stp>BDP|15234927173404689628</stp>
        <tr r="AF109" s="14"/>
      </tp>
      <tp t="s">
        <v>#N/A Requesting Data...2970683954</v>
        <stp/>
        <stp>BDP|11398825019358939968</stp>
        <tr r="K89" s="14"/>
      </tp>
      <tp t="s">
        <v>#N/A Requesting Data...4165536118</v>
        <stp/>
        <stp>BDP|13941617279628682317</stp>
        <tr r="AO15" s="14"/>
        <tr r="AO15" s="14"/>
      </tp>
      <tp t="s">
        <v>#N/A Requesting Data...1435806048</v>
        <stp/>
        <stp>BDP|17254128560059700013</stp>
        <tr r="AL11" s="1"/>
      </tp>
      <tp t="s">
        <v>#N/A Requesting Data...3557006690</v>
        <stp/>
        <stp>BDP|13677300150359310536</stp>
        <tr r="AL64" s="14"/>
      </tp>
      <tp t="s">
        <v>#N/A Requesting Data...4250858467</v>
        <stp/>
        <stp>BDP|17423763011188222073</stp>
        <tr r="I83" s="14"/>
        <tr r="I83" s="14"/>
      </tp>
      <tp t="s">
        <v>#N/A N/A</v>
        <stp/>
        <stp>BDP|11060974185128173155</stp>
        <tr r="N11" s="6"/>
      </tp>
      <tp t="s">
        <v>#N/A N/A</v>
        <stp/>
        <stp>BDH|10927826998570329809</stp>
        <tr r="AE77" s="14"/>
      </tp>
      <tp t="s">
        <v>#N/A N/A</v>
        <stp/>
        <stp>BADDPERIODS|15873932814204006427</stp>
        <tr r="AH62" s="14"/>
      </tp>
      <tp t="s">
        <v>#N/A N/A</v>
        <stp/>
        <stp>BDH|13780158362098712547</stp>
        <tr r="AE78" s="14"/>
      </tp>
      <tp t="s">
        <v>#N/A N/A</v>
        <stp/>
        <stp>BDH|16832231703388499593</stp>
        <tr r="AI16" s="14"/>
      </tp>
      <tp t="s">
        <v>#N/A N/A</v>
        <stp/>
        <stp>BDH|14934430176386330890</stp>
        <tr r="AE69" s="14"/>
      </tp>
      <tp t="s">
        <v>#N/A N/A</v>
        <stp/>
        <stp>BDH|12618364726548383238</stp>
        <tr r="AE12" s="14"/>
      </tp>
      <tp t="s">
        <v>#N/A N/A</v>
        <stp/>
        <stp>BDH|13627878122535879525</stp>
        <tr r="AE39" s="14"/>
      </tp>
      <tp t="s">
        <v>#N/A N/A</v>
        <stp/>
        <stp>BADDPERIODS|16365682129339109670</stp>
        <tr r="AH76" s="14"/>
      </tp>
      <tp t="s">
        <v>#N/A N/A</v>
        <stp/>
        <stp>BADDPERIODS|15798690509269144701</stp>
        <tr r="J23" s="7"/>
        <tr r="J19" s="7"/>
      </tp>
      <tp t="s">
        <v>#N/A N/A</v>
        <stp/>
        <stp>BDH|10516970171876853115</stp>
        <tr r="Y18" s="6"/>
      </tp>
      <tp t="s">
        <v>#N/A N/A</v>
        <stp/>
        <stp>BDH|12161207868679430677</stp>
        <tr r="AI94" s="14"/>
      </tp>
      <tp t="s">
        <v>#N/A N/A</v>
        <stp/>
        <stp>BADDPERIODS|10601537386587718742</stp>
        <tr r="AH101" s="14"/>
      </tp>
      <tp t="s">
        <v>#N/A N/A</v>
        <stp/>
        <stp>BDH|13347247122263395981</stp>
        <tr r="AE106" s="14"/>
      </tp>
      <tp t="s">
        <v>#N/A Requesting Data...1547393177</v>
        <stp/>
        <stp>BDP|13871919767441129362</stp>
        <tr r="C13" s="16"/>
        <tr r="D15" s="14"/>
      </tp>
      <tp t="s">
        <v>#N/A Requesting Data...1745240417</v>
        <stp/>
        <stp>BDP|13504211099161687721</stp>
        <tr r="AP34" s="14"/>
      </tp>
      <tp t="s">
        <v>#N/A N/A</v>
        <stp/>
        <stp>BDP|12218129226066621992</stp>
        <tr r="S19" s="1"/>
      </tp>
      <tp t="s">
        <v>#N/A Requesting Data...1794197272</v>
        <stp/>
        <stp>BDP|16437869713151020085</stp>
        <tr r="AT76" s="14"/>
      </tp>
      <tp t="s">
        <v>#N/A Requesting Data...3800724533</v>
        <stp/>
        <stp>BDP|11038583951657670861</stp>
        <tr r="AM88" s="14"/>
      </tp>
      <tp t="s">
        <v>#N/A Requesting Data...541349777</v>
        <stp/>
        <stp>BDP|13512850803492981722</stp>
        <tr r="AT35" s="14"/>
      </tp>
      <tp t="s">
        <v>#N/A Requesting Data...3001379709</v>
        <stp/>
        <stp>BDP|18238220508146999296</stp>
        <tr r="V85" s="14"/>
      </tp>
      <tp t="s">
        <v>#N/A N/A</v>
        <stp/>
        <stp>BDP|15814975342997528103</stp>
        <tr r="G12" s="7"/>
      </tp>
      <tp t="s">
        <v>#N/A Requesting Data...3474031606</v>
        <stp/>
        <stp>BDP|10469322897666975209</stp>
        <tr r="F38" s="16"/>
      </tp>
      <tp t="s">
        <v>#N/A Requesting Data...866747339</v>
        <stp/>
        <stp>BDP|16857424646379474109</stp>
        <tr r="AE61" s="14"/>
      </tp>
      <tp t="s">
        <v>#N/A Requesting Data...2604953272</v>
        <stp/>
        <stp>BDP|12128986251163476343</stp>
        <tr r="AQ96" s="14"/>
      </tp>
      <tp t="s">
        <v>#N/A Requesting Data...2018716869</v>
        <stp/>
        <stp>BDP|18443287515203676677</stp>
        <tr r="D92" s="12"/>
      </tp>
      <tp t="s">
        <v>#N/A Requesting Data...2465643065</v>
        <stp/>
        <stp>BDP|13722645751419213782</stp>
        <tr r="AQ94" s="14"/>
      </tp>
      <tp t="s">
        <v>#N/A Requesting Data...3788918518</v>
        <stp/>
        <stp>BDP|16217493323577226922</stp>
        <tr r="I48" s="14"/>
      </tp>
      <tp t="s">
        <v>#N/A Requesting Data...1481302811</v>
        <stp/>
        <stp>BDP|13196858959608354859</stp>
        <tr r="AL22" s="14"/>
      </tp>
      <tp t="s">
        <v>#N/A Requesting Data...1623791147</v>
        <stp/>
        <stp>BDP|10880747006718233132</stp>
        <tr r="D97" s="14"/>
        <tr r="C95" s="16"/>
      </tp>
      <tp t="s">
        <v>#N/A Requesting Data...3320702631</v>
        <stp/>
        <stp>BDP|13467991853027094650</stp>
        <tr r="AQ14" s="14"/>
      </tp>
      <tp t="s">
        <v>#N/A Requesting Data...3021873087</v>
        <stp/>
        <stp>BDP|10362126193451865709</stp>
        <tr r="F32" s="14"/>
        <tr r="F32" s="14"/>
        <tr r="H30" s="16"/>
        <tr r="H30" s="16"/>
      </tp>
      <tp t="s">
        <v>#N/A Requesting Data...3004523145</v>
        <stp/>
        <stp>BDP|10242383282824548174</stp>
        <tr r="AR110" s="14"/>
      </tp>
      <tp t="s">
        <v>#N/A Requesting Data...503984976</v>
        <stp/>
        <stp>BDP|17835586013379096491</stp>
        <tr r="AU94" s="14"/>
      </tp>
      <tp t="s">
        <v>#N/A N/A</v>
        <stp/>
        <stp>BDP|16030518848249222016</stp>
        <tr r="T67" s="14"/>
        <tr r="T67" s="14"/>
      </tp>
      <tp t="s">
        <v>#N/A N/A</v>
        <stp/>
        <stp>BDP|16317820045716898262</stp>
        <tr r="Z14" s="1"/>
      </tp>
      <tp t="s">
        <v>#N/A Requesting Data...394247757</v>
        <stp/>
        <stp>BDP|18254569932058993857</stp>
        <tr r="AD92" s="14"/>
      </tp>
      <tp t="s">
        <v>#N/A N/A</v>
        <stp/>
        <stp>BDP|13230570262409954747</stp>
        <tr r="K17" s="1"/>
      </tp>
      <tp t="s">
        <v>#N/A Requesting Data...1591107685</v>
        <stp/>
        <stp>BDP|16766893914094680517</stp>
        <tr r="AT80" s="14"/>
      </tp>
      <tp t="s">
        <v>#N/A Requesting Data...3506458628</v>
        <stp/>
        <stp>BDP|15495985161164239027</stp>
        <tr r="AD76" s="14"/>
      </tp>
      <tp t="s">
        <v>#N/A Requesting Data...2409547836</v>
        <stp/>
        <stp>BDP|12989642483433461175</stp>
        <tr r="I105" s="14"/>
        <tr r="I105" s="14"/>
      </tp>
      <tp t="s">
        <v>#N/A N/A</v>
        <stp/>
        <stp>BDP|14187297381775252560</stp>
        <tr r="N105" s="14"/>
      </tp>
      <tp t="s">
        <v>#N/A Requesting Data...2389332620</v>
        <stp/>
        <stp>BDP|14028312287507206692</stp>
        <tr r="H46" s="14"/>
      </tp>
      <tp t="s">
        <v>#N/A Requesting Data...3790268635</v>
        <stp/>
        <stp>BDP|14565347199726311660</stp>
        <tr r="AL87" s="14"/>
      </tp>
      <tp t="s">
        <v>#N/A Requesting Data...2808801292</v>
        <stp/>
        <stp>BDP|16419696207679677710</stp>
        <tr r="AD30" s="14"/>
      </tp>
      <tp t="s">
        <v>#N/A N/A</v>
        <stp/>
        <stp>BDP|11274882567557939688</stp>
        <tr r="AA11" s="5"/>
      </tp>
      <tp t="s">
        <v>#N/A Requesting Data...1152949672</v>
        <stp/>
        <stp>BDP|15670870981702588991</stp>
        <tr r="AT74" s="14"/>
      </tp>
      <tp t="s">
        <v>#N/A N/A</v>
        <stp/>
        <stp>BDP|13363768594736957545</stp>
        <tr r="K76" s="16"/>
      </tp>
      <tp t="s">
        <v>#N/A Requesting Data...3036224480</v>
        <stp/>
        <stp>BDP|16594903129545132614</stp>
        <tr r="AS93" s="14"/>
      </tp>
      <tp t="s">
        <v>#N/A Requesting Data...4225919221</v>
        <stp/>
        <stp>BDP|12607349116166974810</stp>
        <tr r="AQ24" s="14"/>
      </tp>
      <tp t="s">
        <v>#N/A N/A</v>
        <stp/>
        <stp>BDP|14075182365474949986</stp>
        <tr r="I16" s="16"/>
        <tr r="I17" s="16"/>
      </tp>
      <tp t="s">
        <v>#N/A Requesting Data...3213008170</v>
        <stp/>
        <stp>BDP|11895182449818642236</stp>
        <tr r="C108" s="12"/>
      </tp>
      <tp t="s">
        <v>#N/A Requesting Data...424346785</v>
        <stp/>
        <stp>BDP|13879313593614262342</stp>
        <tr r="AB54" s="14"/>
        <tr r="AB54" s="14"/>
      </tp>
      <tp t="s">
        <v>#N/A N/A</v>
        <stp/>
        <stp>BDP|13836622980207707415</stp>
        <tr r="U23" s="7"/>
      </tp>
      <tp t="s">
        <v>#N/A N/A</v>
        <stp/>
        <stp>BDP|12318483284076636657</stp>
        <tr r="AC19" s="1"/>
      </tp>
      <tp t="s">
        <v>#N/A Requesting Data...1963358719</v>
        <stp/>
        <stp>BDP|10205386450979156143</stp>
        <tr r="AF11" s="14"/>
      </tp>
      <tp t="s">
        <v>#N/A Requesting Data...2965114564</v>
        <stp/>
        <stp>BDP|11034494860264570931</stp>
        <tr r="D59" s="14"/>
        <tr r="C57" s="16"/>
      </tp>
      <tp t="s">
        <v>#N/A N/A</v>
        <stp/>
        <stp>BDP|10048865279087036603</stp>
        <tr r="G17" s="7"/>
      </tp>
      <tp t="s">
        <v>#N/A N/A</v>
        <stp/>
        <stp>BDP|17476087343144269923</stp>
        <tr r="Q107" s="14"/>
        <tr r="Q107" s="14"/>
      </tp>
      <tp t="s">
        <v>#N/A N/A</v>
        <stp/>
        <stp>BDP|15969861240272188502</stp>
        <tr r="U12" s="4"/>
      </tp>
      <tp t="s">
        <v>#N/A N/A</v>
        <stp/>
        <stp>BDP|15318481843163642808</stp>
        <tr r="J59" s="16"/>
        <tr r="J67" s="16"/>
        <tr r="J24" s="16"/>
        <tr r="J25" s="16"/>
        <tr r="J58" s="16"/>
      </tp>
      <tp t="s">
        <v>#N/A Requesting Data...2659524706</v>
        <stp/>
        <stp>BDP|16877037578086911942</stp>
        <tr r="AL28" s="14"/>
      </tp>
      <tp t="s">
        <v>#N/A N/A</v>
        <stp/>
        <stp>BDP|16505604249818191230</stp>
        <tr r="T43" s="14"/>
        <tr r="T43" s="14"/>
      </tp>
      <tp t="s">
        <v>#N/A Requesting Data...1252988251</v>
        <stp/>
        <stp>BDP|14055566680797593024</stp>
        <tr r="AU53" s="14"/>
      </tp>
      <tp t="s">
        <v>#N/A Requesting Data...2211844459</v>
        <stp/>
        <stp>BDP|17553059220083508845</stp>
        <tr r="D89" s="14"/>
        <tr r="C87" s="16"/>
      </tp>
      <tp t="s">
        <v>#N/A Requesting Data...3281308745</v>
        <stp/>
        <stp>BDP|14012929200642406177</stp>
        <tr r="AO42" s="14"/>
        <tr r="AO42" s="14"/>
      </tp>
      <tp t="s">
        <v>#N/A N/A</v>
        <stp/>
        <stp>BDP|17174246141339595603</stp>
        <tr r="E17" s="7"/>
      </tp>
      <tp t="s">
        <v>#N/A Requesting Data...1992293768</v>
        <stp/>
        <stp>BDP|16874937450530333499</stp>
        <tr r="AR46" s="14"/>
      </tp>
      <tp t="s">
        <v>#N/A Requesting Data...378266880</v>
        <stp/>
        <stp>BDP|12813291607357794909</stp>
        <tr r="C60" s="14"/>
      </tp>
      <tp t="s">
        <v>#N/A N/A</v>
        <stp/>
        <stp>BDP|11777462053959176729</stp>
        <tr r="AB11" s="4"/>
      </tp>
      <tp t="s">
        <v>#N/A Requesting Data...1736759240</v>
        <stp/>
        <stp>BDP|14455239826943617964</stp>
        <tr r="J19" s="1"/>
      </tp>
      <tp t="s">
        <v>#N/A N/A</v>
        <stp/>
        <stp>BDP|14381730334958411610</stp>
        <tr r="I79" s="16"/>
        <tr r="I80" s="16"/>
        <tr r="I78" s="16"/>
      </tp>
      <tp t="s">
        <v>#N/A Requesting Data...1606244369</v>
        <stp/>
        <stp>BDP|14924000210218124394</stp>
        <tr r="AB88" s="14"/>
        <tr r="AB88" s="14"/>
      </tp>
      <tp t="s">
        <v>#N/A Requesting Data...1611004881</v>
        <stp/>
        <stp>BDP|11814033899972497476</stp>
        <tr r="AN46" s="14"/>
      </tp>
      <tp t="s">
        <v>#N/A Requesting Data...3136910907</v>
        <stp/>
        <stp>BDP|12207992356289921949</stp>
        <tr r="AQ21" s="14"/>
      </tp>
      <tp t="s">
        <v>#N/A Requesting Data...2204805236</v>
        <stp/>
        <stp>BDP|12768560492958494875</stp>
        <tr r="C70" s="14"/>
      </tp>
      <tp t="s">
        <v>#N/A Requesting Data...3059622995</v>
        <stp/>
        <stp>BDP|17717138872919261647</stp>
        <tr r="AE11" s="14"/>
      </tp>
      <tp t="s">
        <v>#N/A Requesting Data...3147563503</v>
        <stp/>
        <stp>BDP|15556352375409756620</stp>
        <tr r="AL70" s="14"/>
      </tp>
      <tp t="s">
        <v>#N/A N/A</v>
        <stp/>
        <stp>BDP|12296983735447884173</stp>
        <tr r="R23" s="1"/>
      </tp>
      <tp t="s">
        <v>#N/A Requesting Data...959610651</v>
        <stp/>
        <stp>BDP|11122931455507720400</stp>
        <tr r="AD97" s="14"/>
      </tp>
      <tp t="s">
        <v>#N/A Requesting Data...3000676586</v>
        <stp/>
        <stp>BDP|18043635097549176068</stp>
        <tr r="AF27" s="14"/>
      </tp>
      <tp t="s">
        <v>#N/A Requesting Data...3234714384</v>
        <stp/>
        <stp>BDP|16126086449404537869</stp>
        <tr r="AN90" s="14"/>
        <tr r="AN91" s="14"/>
      </tp>
      <tp t="s">
        <v>#N/A N/A</v>
        <stp/>
        <stp>BDP|12507331632918110460</stp>
        <tr r="AB14" s="1"/>
      </tp>
      <tp t="s">
        <v>#N/A Requesting Data...1751819265</v>
        <stp/>
        <stp>BDP|16265916325105408613</stp>
        <tr r="E24" s="14"/>
        <tr r="D22" s="16"/>
      </tp>
      <tp t="s">
        <v>#N/A Requesting Data...4246997350</v>
        <stp/>
        <stp>BDP|17270310935339119044</stp>
        <tr r="H20" s="1"/>
      </tp>
      <tp t="s">
        <v>#N/A Requesting Data...4115468911</v>
        <stp/>
        <stp>BDP|15516019125258284102</stp>
        <tr r="AN37" s="14"/>
      </tp>
      <tp t="s">
        <v>#N/A N/A</v>
        <stp/>
        <stp>BDP|11534991832305966041</stp>
        <tr r="T21" s="6"/>
      </tp>
      <tp t="s">
        <v>#N/A Requesting Data...1722339709</v>
        <stp/>
        <stp>BDP|14217402265578362068</stp>
        <tr r="AP77" s="14"/>
      </tp>
      <tp t="s">
        <v>#N/A Requesting Data...711502879</v>
        <stp/>
        <stp>BDP|11958897242261540259</stp>
        <tr r="I89" s="14"/>
        <tr r="I89" s="14"/>
      </tp>
      <tp t="s">
        <v>#N/A Requesting Data...1889465944</v>
        <stp/>
        <stp>BDP|13053081957569452198</stp>
        <tr r="K55" s="14"/>
      </tp>
      <tp t="s">
        <v>#N/A Requesting Data...377272734</v>
        <stp/>
        <stp>BDP|15353883312412373089</stp>
        <tr r="D14" s="16"/>
        <tr r="E16" s="14"/>
      </tp>
      <tp t="s">
        <v>#N/A Requesting Data...477966456</v>
        <stp/>
        <stp>BDP|17461898268776189164</stp>
        <tr r="AU70" s="14"/>
      </tp>
      <tp t="s">
        <v>#N/A Requesting Data...2977113478</v>
        <stp/>
        <stp>BDP|16065036965539194727</stp>
        <tr r="D107" s="16"/>
        <tr r="E109" s="14"/>
      </tp>
      <tp t="s">
        <v>#N/A Requesting Data...673467434</v>
        <stp/>
        <stp>BDP|18254843864870369841</stp>
        <tr r="AQ66" s="14"/>
      </tp>
      <tp t="s">
        <v>#N/A Requesting Data...2674331324</v>
        <stp/>
        <stp>BDP|10902750740659017499</stp>
        <tr r="C34" s="14"/>
      </tp>
      <tp t="s">
        <v>#N/A Requesting Data...1980561170</v>
        <stp/>
        <stp>BDP|18134353777701377352</stp>
        <tr r="AT54" s="14"/>
      </tp>
      <tp t="s">
        <v>#N/A Requesting Data...1241016888</v>
        <stp/>
        <stp>BDP|16034752370221145915</stp>
        <tr r="AH98" s="14"/>
      </tp>
      <tp t="s">
        <v>#N/A Requesting Data...2615639363</v>
        <stp/>
        <stp>BDP|14177101585144039712</stp>
        <tr r="H93" s="16"/>
        <tr r="H93" s="16"/>
        <tr r="F95" s="14"/>
        <tr r="F95" s="14"/>
      </tp>
      <tp t="s">
        <v>#N/A N/A</v>
        <stp/>
        <stp>BDP|16655843515457434664</stp>
        <tr r="J27" s="16"/>
        <tr r="J28" s="16"/>
      </tp>
      <tp t="s">
        <v>#N/A Requesting Data...1381192433</v>
        <stp/>
        <stp>BDP|15479358705770740868</stp>
        <tr r="E57" s="16"/>
      </tp>
      <tp t="s">
        <v>#N/A Requesting Data...2738046992</v>
        <stp/>
        <stp>BDP|17918531089902681618</stp>
        <tr r="E15" s="1"/>
      </tp>
      <tp t="s">
        <v>#N/A Requesting Data...1160058125</v>
        <stp/>
        <stp>BDP|10916991421941558404</stp>
        <tr r="K16" s="14"/>
      </tp>
      <tp t="s">
        <v>#N/A Requesting Data...2320514925</v>
        <stp/>
        <stp>BDP|11021495292826672490</stp>
        <tr r="E110" s="14"/>
        <tr r="D108" s="16"/>
      </tp>
      <tp t="s">
        <v>#N/A Requesting Data...3448728897</v>
        <stp/>
        <stp>BDP|11887032227185960812</stp>
        <tr r="AD21" s="14"/>
      </tp>
      <tp t="s">
        <v>#N/A N/A</v>
        <stp/>
        <stp>BDP|14120739493570543407</stp>
        <tr r="I34" s="16"/>
      </tp>
      <tp t="s">
        <v>#N/A Requesting Data...1099099402</v>
        <stp/>
        <stp>BDP|11085518239850961953</stp>
        <tr r="AL88" s="14"/>
      </tp>
      <tp t="s">
        <v>#N/A Requesting Data...3833968370</v>
        <stp/>
        <stp>BDP|16422839304514312443</stp>
        <tr r="AF81" s="14"/>
      </tp>
      <tp t="s">
        <v>#N/A Requesting Data...540211260</v>
        <stp/>
        <stp>BDP|17251506381146509224</stp>
        <tr r="D108" s="12"/>
      </tp>
      <tp t="s">
        <v>#N/A N/A</v>
        <stp/>
        <stp>BDP|12970329569621374859</stp>
        <tr r="AA20" s="1"/>
      </tp>
      <tp t="s">
        <v>#N/A N/A</v>
        <stp/>
        <stp>BDP|13727162916764760944</stp>
        <tr r="J28" s="14"/>
        <tr r="J28" s="14"/>
      </tp>
      <tp t="s">
        <v>#N/A Requesting Data...1682253133</v>
        <stp/>
        <stp>BDP|14095228756529281429</stp>
        <tr r="AU80" s="14"/>
      </tp>
      <tp t="s">
        <v>#N/A Requesting Data...391626953</v>
        <stp/>
        <stp>BDP|15362810505746455570</stp>
        <tr r="E82" s="16"/>
      </tp>
      <tp t="s">
        <v>#N/A Requesting Data...3773059426</v>
        <stp/>
        <stp>BDP|13137923811495490010</stp>
        <tr r="F49" s="16"/>
      </tp>
      <tp t="s">
        <v>#N/A Requesting Data...1467004070</v>
        <stp/>
        <stp>BDP|15060033680450724330</stp>
        <tr r="AD58" s="14"/>
      </tp>
      <tp t="s">
        <v>#N/A N/A</v>
        <stp/>
        <stp>BDP|17230505725078560653</stp>
        <tr r="G16" s="1"/>
      </tp>
      <tp t="s">
        <v>#N/A N/A</v>
        <stp/>
        <stp>BDP|16378877446674324065</stp>
        <tr r="S11" s="6"/>
      </tp>
      <tp t="s">
        <v>#N/A Requesting Data...3781625069</v>
        <stp/>
        <stp>BDP|12139901460150731311</stp>
        <tr r="AF54" s="14"/>
      </tp>
      <tp t="s">
        <v>#N/A N/A</v>
        <stp/>
        <stp>BDP|14084244685388216848</stp>
        <tr r="AH14" s="14"/>
        <tr r="AH14" s="14"/>
      </tp>
      <tp t="s">
        <v>#N/A N/A</v>
        <stp/>
        <stp>BDP|11600072115137236915</stp>
        <tr r="S12" s="7"/>
      </tp>
      <tp t="s">
        <v>#N/A Requesting Data...3989667047</v>
        <stp/>
        <stp>BDP|14367600892300566529</stp>
        <tr r="AR11" s="14"/>
      </tp>
      <tp t="s">
        <v>#N/A Requesting Data...3037301954</v>
        <stp/>
        <stp>BDP|14041343690870023027</stp>
        <tr r="AR73" s="14"/>
      </tp>
      <tp t="s">
        <v>#N/A Requesting Data...1327504652</v>
        <stp/>
        <stp>BDP|17192824925402755174</stp>
        <tr r="K17" s="14"/>
      </tp>
      <tp t="s">
        <v>#N/A Requesting Data...1167867830</v>
        <stp/>
        <stp>BDP|14442310091372181232</stp>
        <tr r="AN43" s="14"/>
      </tp>
      <tp t="s">
        <v>#N/A Requesting Data...1795931355</v>
        <stp/>
        <stp>BDP|16152938011933295371</stp>
        <tr r="G89" s="14"/>
      </tp>
      <tp t="s">
        <v>#N/A Requesting Data...1970071432</v>
        <stp/>
        <stp>BDP|17383909406752127226</stp>
        <tr r="K88" s="14"/>
      </tp>
      <tp t="s">
        <v>#N/A N/A</v>
        <stp/>
        <stp>BADDPERIODS|10153919205374577781</stp>
        <tr r="AH90" s="14"/>
        <tr r="AH91" s="14"/>
      </tp>
      <tp t="s">
        <v>#N/A N/A</v>
        <stp/>
        <stp>BDH|18103121927017300234</stp>
        <tr r="X13" s="7"/>
      </tp>
      <tp t="s">
        <v>#N/A N/A</v>
        <stp/>
        <stp>BDH|13724040833666512833</stp>
        <tr r="X12" s="6"/>
      </tp>
      <tp t="s">
        <v>#N/A N/A</v>
        <stp/>
        <stp>BDH|14702905337558053863</stp>
        <tr r="AO11" s="1"/>
      </tp>
      <tp t="s">
        <v>#N/A N/A</v>
        <stp/>
        <stp>BADDPERIODS|12138047298281589036</stp>
        <tr r="AH35" s="14"/>
      </tp>
      <tp t="s">
        <v>#N/A N/A</v>
        <stp/>
        <stp>BADDPERIODS|14087822915597738046</stp>
        <tr r="AH97" s="14"/>
      </tp>
      <tp t="s">
        <v>#N/A N/A</v>
        <stp/>
        <stp>BDH|13185713431129989063</stp>
        <tr r="X24" s="6"/>
      </tp>
      <tp t="s">
        <v>#N/A N/A</v>
        <stp/>
        <stp>BDH|10844336972479689319</stp>
        <tr r="AE83" s="14"/>
      </tp>
      <tp t="s">
        <v>#N/A Requesting Data...2028910988</v>
        <stp/>
        <stp>BDP|17753868724101918356</stp>
        <tr r="I102" s="14"/>
        <tr r="I102" s="14"/>
      </tp>
      <tp t="s">
        <v>#N/A Requesting Data...4246878468</v>
        <stp/>
        <stp>BDP|11736396989382753799</stp>
        <tr r="AO52" s="14"/>
        <tr r="AO52" s="14"/>
      </tp>
      <tp t="s">
        <v>#N/A N/A</v>
        <stp/>
        <stp>BDP|10941847557227673559</stp>
        <tr r="Z23" s="1"/>
      </tp>
      <tp t="s">
        <v>#N/A Requesting Data...3528968208</v>
        <stp/>
        <stp>BDP|15910303223832674952</stp>
        <tr r="C109" s="12"/>
      </tp>
      <tp t="s">
        <v>#N/A Requesting Data...4080831619</v>
        <stp/>
        <stp>BDP|10981566753048538700</stp>
        <tr r="G28" s="14"/>
      </tp>
      <tp t="s">
        <v>#N/A Requesting Data...3637046107</v>
        <stp/>
        <stp>BDP|15659713194467312392</stp>
        <tr r="F81" s="16"/>
      </tp>
      <tp t="s">
        <v>#N/A Requesting Data...3991895196</v>
        <stp/>
        <stp>BDP|18367939283373258588</stp>
        <tr r="AU18" s="14"/>
      </tp>
      <tp t="s">
        <v>#N/A Requesting Data...3439110828</v>
        <stp/>
        <stp>BDP|11327433293223255087</stp>
        <tr r="D41" s="16"/>
        <tr r="E43" s="14"/>
      </tp>
      <tp t="s">
        <v>#N/A N/A</v>
        <stp/>
        <stp>BDS|17117647700559831770</stp>
        <tr r="AI21" s="14"/>
        <tr r="AI21" s="14"/>
      </tp>
      <tp t="s">
        <v>#N/A N/A</v>
        <stp/>
        <stp>BDP|13275195766418098348</stp>
        <tr r="R12" s="1"/>
      </tp>
      <tp t="s">
        <v>#N/A N/A</v>
        <stp/>
        <stp>BDP|16254569281877474386</stp>
        <tr r="U13" s="6"/>
      </tp>
      <tp t="s">
        <v>#N/A Requesting Data...1043130088</v>
        <stp/>
        <stp>BDP|17287826718254476540</stp>
        <tr r="AN36" s="14"/>
      </tp>
      <tp t="s">
        <v>#N/A Requesting Data...2302722048</v>
        <stp/>
        <stp>BDP|15921985592888869234</stp>
        <tr r="AM17" s="14"/>
      </tp>
      <tp t="s">
        <v>#N/A N/A</v>
        <stp/>
        <stp>BDP|16483411168398724329</stp>
        <tr r="M15" s="4"/>
      </tp>
      <tp t="s">
        <v>#N/A Requesting Data...4073564244</v>
        <stp/>
        <stp>BDP|10538180634864780962</stp>
        <tr r="E42" s="16"/>
      </tp>
      <tp t="s">
        <v>#N/A Requesting Data...2173286442</v>
        <stp/>
        <stp>BDP|12927871774272223006</stp>
        <tr r="AF31" s="14"/>
      </tp>
      <tp t="s">
        <v>#N/A Requesting Data...1477129638</v>
        <stp/>
        <stp>BDP|14788254148699072417</stp>
        <tr r="AN28" s="14"/>
      </tp>
      <tp t="s">
        <v>#N/A Requesting Data...2151449050</v>
        <stp/>
        <stp>BDP|18228561838739147869</stp>
        <tr r="J21" s="1"/>
      </tp>
      <tp t="s">
        <v>#N/A Requesting Data...2699870552</v>
        <stp/>
        <stp>BDP|11174550419509443325</stp>
        <tr r="H81" s="16"/>
        <tr r="H81" s="16"/>
        <tr r="F83" s="14"/>
        <tr r="F83" s="14"/>
      </tp>
      <tp t="s">
        <v>#N/A N/A</v>
        <stp/>
        <stp>BDP|10451358249181676959</stp>
        <tr r="T75" s="14"/>
        <tr r="T75" s="14"/>
      </tp>
      <tp t="s">
        <v>#N/A Requesting Data...3192832590</v>
        <stp/>
        <stp>BDP|14829622573732180825</stp>
        <tr r="C107" s="12"/>
      </tp>
      <tp t="s">
        <v>#N/A Requesting Data...2323696347</v>
        <stp/>
        <stp>BDP|10684569681865203791</stp>
        <tr r="D35" s="16"/>
        <tr r="E37" s="14"/>
      </tp>
      <tp t="s">
        <v>#N/A Requesting Data...2955524219</v>
        <stp/>
        <stp>BDP|15748408953173971874</stp>
        <tr r="AD90" s="14"/>
        <tr r="AD91" s="14"/>
      </tp>
      <tp t="s">
        <v>#N/A Requesting Data...2918449555</v>
        <stp/>
        <stp>BDP|16134164977836281987</stp>
        <tr r="AR69" s="14"/>
      </tp>
      <tp t="s">
        <v>#N/A Requesting Data...4276321618</v>
        <stp/>
        <stp>BDP|16527086046089724460</stp>
        <tr r="AR45" s="14"/>
      </tp>
      <tp t="s">
        <v>#N/A Requesting Data...4042800937</v>
        <stp/>
        <stp>BDP|14605817813623922177</stp>
        <tr r="AQ56" s="14"/>
      </tp>
      <tp t="s">
        <v>#N/A N/A</v>
        <stp/>
        <stp>BDP|15153929545830978757</stp>
        <tr r="D17" s="1"/>
      </tp>
      <tp t="s">
        <v>#N/A Requesting Data...1556459882</v>
        <stp/>
        <stp>BDP|10799590185435403727</stp>
        <tr r="E49" s="16"/>
      </tp>
      <tp t="s">
        <v>#N/A Requesting Data...3222551236</v>
        <stp/>
        <stp>BDP|17345882314525536478</stp>
        <tr r="AD15" s="14"/>
      </tp>
      <tp t="s">
        <v>#N/A Requesting Data...1345442382</v>
        <stp/>
        <stp>BDP|17891223080147636516</stp>
        <tr r="AT41" s="14"/>
      </tp>
      <tp t="s">
        <v>#N/A Requesting Data...1581228989</v>
        <stp/>
        <stp>BDP|15230571410749965710</stp>
        <tr r="G16" s="14"/>
      </tp>
      <tp t="s">
        <v>#N/A Requesting Data...3022027708</v>
        <stp/>
        <stp>BDP|14607854800023822064</stp>
        <tr r="I107" s="14"/>
        <tr r="I107" s="14"/>
      </tp>
      <tp t="s">
        <v>#N/A Requesting Data...1764522983</v>
        <stp/>
        <stp>BDP|16890899745167034290</stp>
        <tr r="K94" s="14"/>
      </tp>
      <tp t="s">
        <v>#N/A N/A</v>
        <stp/>
        <stp>BDP|10779211108234529966</stp>
        <tr r="T51" s="14"/>
        <tr r="T51" s="14"/>
      </tp>
      <tp t="s">
        <v>#N/A Requesting Data...3689535140</v>
        <stp/>
        <stp>BDP|14572717858419212032</stp>
        <tr r="AK20" s="1"/>
      </tp>
      <tp t="s">
        <v>#N/A Requesting Data...2830442227</v>
        <stp/>
        <stp>BDP|16429703139985776879</stp>
        <tr r="G56" s="16"/>
      </tp>
      <tp t="s">
        <v>#N/A Requesting Data...1561918012</v>
        <stp/>
        <stp>BDP|17251918015852252294</stp>
        <tr r="AN107" s="14"/>
      </tp>
      <tp t="s">
        <v>#N/A Requesting Data...656672847</v>
        <stp/>
        <stp>BDP|12569702244529525789</stp>
        <tr r="AK40" s="14"/>
      </tp>
      <tp t="s">
        <v>#N/A Requesting Data...3777546252</v>
        <stp/>
        <stp>BDP|16823458421568037701</stp>
        <tr r="G67" s="14"/>
      </tp>
      <tp t="s">
        <v>#N/A Requesting Data...2990253322</v>
        <stp/>
        <stp>BDP|14517209572118921628</stp>
        <tr r="AM52" s="14"/>
      </tp>
      <tp t="s">
        <v>#N/A Requesting Data...3944191370</v>
        <stp/>
        <stp>BDP|13620121983575876030</stp>
        <tr r="AM94" s="14"/>
      </tp>
      <tp t="s">
        <v>#N/A N/A</v>
        <stp/>
        <stp>BDP|11412596275199152555</stp>
        <tr r="P16" s="6"/>
      </tp>
      <tp t="s">
        <v>#N/A N/A</v>
        <stp/>
        <stp>BDP|12641750480530816274</stp>
        <tr r="N22" s="7"/>
      </tp>
      <tp t="s">
        <v>#N/A N/A</v>
        <stp/>
        <stp>BDP|14636987781373980997</stp>
        <tr r="I13" s="4"/>
      </tp>
      <tp t="s">
        <v>#N/A Requesting Data...3333979555</v>
        <stp/>
        <stp>BDP|13807439030332671922</stp>
        <tr r="AF107" s="14"/>
      </tp>
      <tp t="s">
        <v>#N/A Requesting Data...2352258992</v>
        <stp/>
        <stp>BDP|13922202624729426564</stp>
        <tr r="AP69" s="14"/>
      </tp>
      <tp t="s">
        <v>#N/A Requesting Data...1270028528</v>
        <stp/>
        <stp>BDP|17577637368928745069</stp>
        <tr r="D13" s="16"/>
        <tr r="E15" s="14"/>
      </tp>
      <tp t="s">
        <v>#N/A Requesting Data...406065672</v>
        <stp/>
        <stp>BDP|16612516798361273439</stp>
        <tr r="C71" s="14"/>
      </tp>
      <tp t="s">
        <v>#N/A Requesting Data...2425220618</v>
        <stp/>
        <stp>BDP|18389390500580465403</stp>
        <tr r="H20" s="16"/>
        <tr r="H20" s="16"/>
        <tr r="F22" s="14"/>
        <tr r="F22" s="14"/>
      </tp>
      <tp t="s">
        <v>#N/A N/A</v>
        <stp/>
        <stp>BDP|15146316388145029462</stp>
        <tr r="R18" s="1"/>
      </tp>
      <tp t="s">
        <v>#N/A N/A</v>
        <stp/>
        <stp>BDS|16414203498796949482</stp>
        <tr r="AI56" s="14"/>
        <tr r="AI56" s="14"/>
        <tr r="AI57" s="14"/>
        <tr r="AI57" s="14"/>
        <tr r="AI50" s="14"/>
        <tr r="AI50" s="14"/>
        <tr r="AI53" s="14"/>
        <tr r="AI53" s="14"/>
        <tr r="AI48" s="14"/>
        <tr r="AI48" s="14"/>
        <tr r="AI51" s="14"/>
        <tr r="AI51" s="14"/>
        <tr r="AI52" s="14"/>
        <tr r="AI52" s="14"/>
      </tp>
      <tp t="s">
        <v>#N/A Requesting Data...2723800697</v>
        <stp/>
        <stp>BDP|11532670208751546912</stp>
        <tr r="AP108" s="14"/>
      </tp>
      <tp t="s">
        <v>#N/A Requesting Data...1456376014</v>
        <stp/>
        <stp>BDP|16062501755108035145</stp>
        <tr r="I84" s="14"/>
      </tp>
      <tp t="s">
        <v>#N/A N/A</v>
        <stp/>
        <stp>BDP|15782637481684782036</stp>
        <tr r="D24" s="7"/>
      </tp>
      <tp t="s">
        <v>#N/A Requesting Data...2811865829</v>
        <stp/>
        <stp>BDP|13314839246063420321</stp>
        <tr r="AO106" s="14"/>
        <tr r="AO106" s="14"/>
      </tp>
      <tp t="s">
        <v>#N/A Requesting Data...3476166274</v>
        <stp/>
        <stp>BDP|14940787102444787843</stp>
        <tr r="C98" s="16"/>
        <tr r="D100" s="14"/>
      </tp>
      <tp t="s">
        <v>#N/A Requesting Data...1990880424</v>
        <stp/>
        <stp>BDP|17269916841466579372</stp>
        <tr r="AD67" s="14"/>
      </tp>
      <tp t="s">
        <v>#N/A Requesting Data...1199913588</v>
        <stp/>
        <stp>BDP|11264952079011844160</stp>
        <tr r="G55" s="14"/>
      </tp>
      <tp t="s">
        <v>#N/A N/A</v>
        <stp/>
        <stp>BDP|12730579543284345836</stp>
        <tr r="U19" s="7"/>
      </tp>
      <tp t="s">
        <v>#N/A Requesting Data...3752864330</v>
        <stp/>
        <stp>BDP|11105792324828913361</stp>
        <tr r="F60" s="16"/>
      </tp>
      <tp t="s">
        <v>#N/A Requesting Data...1090774215</v>
        <stp/>
        <stp>BDP|15746307455728856499</stp>
        <tr r="AS12" s="14"/>
      </tp>
      <tp t="s">
        <v>#N/A Requesting Data...3519657092</v>
        <stp/>
        <stp>BDP|10088303517095385871</stp>
        <tr r="AQ34" s="14"/>
      </tp>
      <tp t="s">
        <v>#N/A N/A</v>
        <stp/>
        <stp>BDP|11036522580380150307</stp>
        <tr r="L41" s="16"/>
      </tp>
      <tp t="s">
        <v>#N/A N/A</v>
        <stp/>
        <stp>BDP|18337260472491116353</stp>
        <tr r="J41" s="14"/>
        <tr r="J41" s="14"/>
      </tp>
      <tp t="s">
        <v>#N/A Requesting Data...2416898120</v>
        <stp/>
        <stp>BDP|16458483362903915855</stp>
        <tr r="E84" s="16"/>
      </tp>
      <tp t="s">
        <v>#N/A N/A</v>
        <stp/>
        <stp>BDS|16746214967978539551</stp>
        <tr r="AI82" s="14"/>
        <tr r="AI82" s="14"/>
      </tp>
      <tp t="s">
        <v>#N/A Requesting Data...2858184567</v>
        <stp/>
        <stp>BDP|16895189283318664879</stp>
        <tr r="G104" s="14"/>
      </tp>
      <tp t="s">
        <v>#N/A Requesting Data...3929839964</v>
        <stp/>
        <stp>BDP|14593883819855669707</stp>
        <tr r="AB37" s="14"/>
        <tr r="AB37" s="14"/>
      </tp>
      <tp t="s">
        <v>#N/A N/A</v>
        <stp/>
        <stp>BDP|18254856682791163662</stp>
        <tr r="T22" s="14"/>
        <tr r="T22" s="14"/>
      </tp>
      <tp t="s">
        <v>#N/A Requesting Data...2370206995</v>
        <stp/>
        <stp>BDP|17336520493407165311</stp>
        <tr r="AK19" s="14"/>
      </tp>
      <tp t="s">
        <v>#N/A Requesting Data...496786041</v>
        <stp/>
        <stp>BDP|18211508707566035400</stp>
        <tr r="AB81" s="14"/>
        <tr r="AB81" s="14"/>
      </tp>
      <tp t="s">
        <v>#N/A Requesting Data...957677673</v>
        <stp/>
        <stp>BDP|10577615820159154208</stp>
        <tr r="AD96" s="14"/>
      </tp>
      <tp t="s">
        <v>#N/A Requesting Data...2133150751</v>
        <stp/>
        <stp>BDP|11692056597457241039</stp>
        <tr r="AQ46" s="14"/>
      </tp>
      <tp t="s">
        <v>#N/A Requesting Data...645430838</v>
        <stp/>
        <stp>BDP|16449645092821085774</stp>
        <tr r="K81" s="14"/>
      </tp>
      <tp t="s">
        <v>#N/A Requesting Data...639810429</v>
        <stp/>
        <stp>BDP|13880853069253457142</stp>
        <tr r="AH21" s="14"/>
      </tp>
      <tp t="s">
        <v>#N/A Requesting Data...1732269128</v>
        <stp/>
        <stp>BDP|15209947182233005808</stp>
        <tr r="F64" s="16"/>
      </tp>
      <tp t="s">
        <v>#N/A Requesting Data...4229485623</v>
        <stp/>
        <stp>BDP|14360699458948137078</stp>
        <tr r="AO28" s="14"/>
        <tr r="AO28" s="14"/>
      </tp>
      <tp t="s">
        <v>#N/A Requesting Data...1586509176</v>
        <stp/>
        <stp>BDP|18241428781339340267</stp>
        <tr r="F12" s="16"/>
      </tp>
      <tp t="s">
        <v>#N/A Requesting Data...2537534614</v>
        <stp/>
        <stp>BDP|13036621936630150913</stp>
        <tr r="H46" s="16"/>
        <tr r="H46" s="16"/>
        <tr r="F48" s="14"/>
        <tr r="F48" s="14"/>
      </tp>
      <tp t="s">
        <v>#N/A Requesting Data...2435731668</v>
        <stp/>
        <stp>BDP|13360115803269077451</stp>
        <tr r="AE71" s="14"/>
      </tp>
      <tp t="s">
        <v>#N/A N/A</v>
        <stp/>
        <stp>BDP|14364255997577743725</stp>
        <tr r="K13" s="1"/>
      </tp>
      <tp t="s">
        <v>#N/A N/A</v>
        <stp/>
        <stp>BDP|13483805364336137458</stp>
        <tr r="P21" s="7"/>
      </tp>
      <tp t="s">
        <v>#N/A Requesting Data...3307328482</v>
        <stp/>
        <stp>BDP|13490838255302202346</stp>
        <tr r="AN103" s="14"/>
      </tp>
      <tp t="s">
        <v>#N/A Requesting Data...2445691877</v>
        <stp/>
        <stp>BDP|14315656614364671839</stp>
        <tr r="AH105" s="14"/>
      </tp>
      <tp t="s">
        <v>#N/A Requesting Data...1903055690</v>
        <stp/>
        <stp>BDP|12535669437278598069</stp>
        <tr r="AB106" s="14"/>
        <tr r="AB106" s="14"/>
      </tp>
      <tp t="s">
        <v>#N/A Requesting Data...3390133920</v>
        <stp/>
        <stp>BDP|15936330943884669985</stp>
        <tr r="AP62" s="14"/>
      </tp>
      <tp t="s">
        <v>#N/A Requesting Data...3372327046</v>
        <stp/>
        <stp>BDP|15156858262223737764</stp>
        <tr r="AM67" s="14"/>
      </tp>
      <tp t="s">
        <v>#N/A Requesting Data...4110766966</v>
        <stp/>
        <stp>BDP|10479704490501503069</stp>
        <tr r="C29" s="14"/>
      </tp>
      <tp t="s">
        <v>#N/A Requesting Data...947107323</v>
        <stp/>
        <stp>BDP|11370148496670660601</stp>
        <tr r="F67" s="16"/>
      </tp>
      <tp t="s">
        <v>#N/A Requesting Data...594783472</v>
        <stp/>
        <stp>BDP|11461759890535261541</stp>
        <tr r="AU20" s="14"/>
      </tp>
      <tp t="s">
        <v>#N/A Requesting Data...3146891333</v>
        <stp/>
        <stp>BDP|10280474890232127030</stp>
        <tr r="AO55" s="14"/>
        <tr r="AO55" s="14"/>
      </tp>
      <tp t="s">
        <v>#N/A Requesting Data...1967406311</v>
        <stp/>
        <stp>BDP|13790067620049562734</stp>
        <tr r="C24" s="14"/>
      </tp>
      <tp t="s">
        <v>#N/A Requesting Data...2188142949</v>
        <stp/>
        <stp>BDP|18146075344644328766</stp>
        <tr r="AF96" s="14"/>
      </tp>
      <tp t="s">
        <v>#N/A Requesting Data...1568243019</v>
        <stp/>
        <stp>BDP|12218873521786320106</stp>
        <tr r="D96" s="16"/>
        <tr r="E98" s="14"/>
      </tp>
      <tp t="s">
        <v>#N/A Requesting Data...2359328776</v>
        <stp/>
        <stp>BDP|10209298538548797633</stp>
        <tr r="AH95" s="14"/>
      </tp>
      <tp t="s">
        <v>#N/A Requesting Data...1318728759</v>
        <stp/>
        <stp>BDP|15763564092690521611</stp>
        <tr r="AL35" s="14"/>
      </tp>
      <tp t="s">
        <v>#N/A N/A</v>
        <stp/>
        <stp>BDP|12076914183324281863</stp>
        <tr r="F12" s="7"/>
      </tp>
      <tp t="s">
        <v>#N/A N/A</v>
        <stp/>
        <stp>BDP|10608374466563812999</stp>
        <tr r="F12" s="4"/>
      </tp>
      <tp t="s">
        <v>#N/A N/A</v>
        <stp/>
        <stp>BDP|17302826790490438938</stp>
        <tr r="G22" s="7"/>
      </tp>
      <tp t="s">
        <v>#N/A Requesting Data...918935392</v>
        <stp/>
        <stp>BDP|16654639729614912932</stp>
        <tr r="AN79" s="14"/>
      </tp>
      <tp t="s">
        <v>#N/A Requesting Data...436393009</v>
        <stp/>
        <stp>BDP|16970155127048562288</stp>
        <tr r="G106" s="16"/>
      </tp>
      <tp t="s">
        <v>#N/A N/A</v>
        <stp/>
        <stp>BDP|10102256494977352359</stp>
        <tr r="J62" s="16"/>
        <tr r="J108" s="16"/>
        <tr r="J57" s="16"/>
      </tp>
      <tp t="s">
        <v>#N/A Requesting Data...3979936085</v>
        <stp/>
        <stp>BDP|15700964150306344041</stp>
        <tr r="G107" s="14"/>
      </tp>
      <tp t="s">
        <v>#N/A Requesting Data...1704426029</v>
        <stp/>
        <stp>BDP|17218043809370946807</stp>
        <tr r="I13" s="12"/>
      </tp>
      <tp t="s">
        <v>#N/A Requesting Data...3329335164</v>
        <stp/>
        <stp>BDP|17818652075268860166</stp>
        <tr r="AK55" s="14"/>
      </tp>
      <tp t="s">
        <v>#N/A Requesting Data...3904457332</v>
        <stp/>
        <stp>BDP|16668359126198100029</stp>
        <tr r="C107" s="14"/>
      </tp>
      <tp t="s">
        <v>#N/A Requesting Data...1369381765</v>
        <stp/>
        <stp>BDP|13617123593012179603</stp>
        <tr r="AF90" s="14"/>
        <tr r="AF91" s="14"/>
      </tp>
      <tp t="s">
        <v>#N/A Requesting Data...693388557</v>
        <stp/>
        <stp>BDP|11991283944539520169</stp>
        <tr r="G63" s="14"/>
      </tp>
      <tp t="s">
        <v>#N/A N/A</v>
        <stp/>
        <stp>BDH|15283333994455557512</stp>
        <tr r="AE74" s="14"/>
      </tp>
      <tp t="s">
        <v>#N/A N/A</v>
        <stp/>
        <stp>BDH|17511913234853365117</stp>
        <tr r="AE15" s="4"/>
      </tp>
      <tp t="s">
        <v>#N/A N/A</v>
        <stp/>
        <stp>BADDPERIODS|16314721536280459996</stp>
        <tr r="AH61" s="14"/>
      </tp>
      <tp t="s">
        <v>#N/A N/A</v>
        <stp/>
        <stp>BDH|11081514269605692862</stp>
        <tr r="W15" s="7"/>
      </tp>
      <tp t="s">
        <v>#N/A N/A</v>
        <stp/>
        <stp>BADDPERIODS|17384390350369221387</stp>
        <tr r="M26" s="6"/>
        <tr r="M26" s="6"/>
        <tr r="M26" s="6"/>
      </tp>
      <tp t="s">
        <v>#N/A N/A</v>
        <stp/>
        <stp>BDH|18053090624492348722</stp>
        <tr r="Y14" s="6"/>
      </tp>
    </main>
    <main first="bofaddin.rtdserver">
      <tp t="s">
        <v>#N/A Requesting Data...944785863</v>
        <stp/>
        <stp>BDP|10557114316499347583</stp>
        <tr r="AN101" s="14"/>
      </tp>
      <tp t="s">
        <v>#N/A Requesting Data...4014015228</v>
        <stp/>
        <stp>BDP|13759976715774461398</stp>
        <tr r="AP49" s="14"/>
      </tp>
      <tp t="s">
        <v>#N/A Requesting Data...4068442837</v>
        <stp/>
        <stp>BDP|16751159680124205784</stp>
        <tr r="AR66" s="14"/>
      </tp>
      <tp t="s">
        <v>#N/A N/A</v>
        <stp/>
        <stp>BDP|14257948338755724717</stp>
        <tr r="N107" s="14"/>
      </tp>
      <tp t="s">
        <v>#N/A N/A</v>
        <stp/>
        <stp>BDP|14921854539977497498</stp>
        <tr r="U22" s="7"/>
      </tp>
      <tp t="s">
        <v>#N/A Requesting Data...2756374250</v>
        <stp/>
        <stp>BDP|14842338806092397968</stp>
        <tr r="K45" s="14"/>
      </tp>
      <tp t="s">
        <v>#N/A N/A</v>
        <stp/>
        <stp>BDP|17679252231119861321</stp>
        <tr r="X96" s="14"/>
      </tp>
      <tp t="s">
        <v>#N/A Requesting Data...763296701</v>
        <stp/>
        <stp>BDP|14651918071901937774</stp>
        <tr r="AN96" s="14"/>
      </tp>
      <tp t="s">
        <v>#N/A Requesting Data...2351295655</v>
        <stp/>
        <stp>BDP|16401742023566969921</stp>
        <tr r="AS62" s="14"/>
      </tp>
      <tp t="s">
        <v>#N/A Requesting Data...3392272851</v>
        <stp/>
        <stp>BDP|16844641589197556385</stp>
        <tr r="I90" s="14"/>
        <tr r="I91" s="14"/>
      </tp>
      <tp t="s">
        <v>#N/A Requesting Data...3301654139</v>
        <stp/>
        <stp>BDP|16094212505369853176</stp>
        <tr r="AH93" s="14"/>
      </tp>
      <tp t="s">
        <v>#N/A Requesting Data...3775466564</v>
        <stp/>
        <stp>BDP|12948699788200643051</stp>
        <tr r="AR108" s="14"/>
      </tp>
      <tp t="s">
        <v>#N/A N/A</v>
        <stp/>
        <stp>BDP|14686546768792330922</stp>
        <tr r="L91" s="16"/>
      </tp>
      <tp t="s">
        <v>#N/A Requesting Data...1271675442</v>
        <stp/>
        <stp>BDP|12456514826038198198</stp>
        <tr r="AB66" s="14"/>
        <tr r="AB66" s="14"/>
      </tp>
      <tp t="s">
        <v>#N/A Requesting Data...1869861251</v>
        <stp/>
        <stp>BDP|10413115896761932516</stp>
        <tr r="AT40" s="14"/>
      </tp>
      <tp t="s">
        <v>#N/A N/A</v>
        <stp/>
        <stp>BDP|18289780210224899696</stp>
        <tr r="T83" s="14"/>
        <tr r="T83" s="14"/>
      </tp>
      <tp t="s">
        <v>#N/A Requesting Data...2821879955</v>
        <stp/>
        <stp>BDP|14295057628892608823</stp>
        <tr r="AO26" s="14"/>
        <tr r="AO26" s="14"/>
      </tp>
      <tp t="s">
        <v>#N/A Requesting Data...2763480013</v>
        <stp/>
        <stp>BDP|16747347389303366223</stp>
        <tr r="AR86" s="14"/>
      </tp>
      <tp t="s">
        <v>#N/A Requesting Data...1713023328</v>
        <stp/>
        <stp>BDP|15002554681201755599</stp>
        <tr r="AR47" s="14"/>
      </tp>
      <tp t="s">
        <v>#N/A N/A</v>
        <stp/>
        <stp>BDP|11680168917834559987</stp>
        <tr r="AC21" s="1"/>
      </tp>
      <tp t="s">
        <v>#N/A N/A</v>
        <stp/>
        <stp>BDP|10868139965088703336</stp>
        <tr r="AA11" s="4"/>
      </tp>
      <tp t="s">
        <v>#N/A N/A</v>
        <stp/>
        <stp>BDP|16997179914873899988</stp>
        <tr r="T93" s="14"/>
        <tr r="T93" s="14"/>
      </tp>
      <tp t="s">
        <v>#N/A Requesting Data...3108685879</v>
        <stp/>
        <stp>BDP|17270611529909381630</stp>
        <tr r="E61" s="16"/>
      </tp>
      <tp t="s">
        <v>#N/A Requesting Data...2177140945</v>
        <stp/>
        <stp>BDP|14496187510590094819</stp>
        <tr r="C99" s="16"/>
        <tr r="D101" s="14"/>
      </tp>
      <tp t="s">
        <v>#N/A N/A</v>
        <stp/>
        <stp>BDP|14683213299022421172</stp>
        <tr r="AK12" s="1"/>
      </tp>
      <tp t="s">
        <v>#N/A Requesting Data...3431623808</v>
        <stp/>
        <stp>BDP|17864183219859059241</stp>
        <tr r="G53" s="16"/>
      </tp>
      <tp t="s">
        <v>#N/A Requesting Data...3809362363</v>
        <stp/>
        <stp>BDP|16658983870277414379</stp>
        <tr r="AE95" s="14"/>
      </tp>
      <tp t="s">
        <v>#N/A N/A</v>
        <stp/>
        <stp>BDP|15936361482682341033</stp>
        <tr r="G14" s="6"/>
      </tp>
      <tp t="s">
        <v>#N/A Requesting Data...2417891341</v>
        <stp/>
        <stp>BDP|12229319326958023782</stp>
        <tr r="C33" s="14"/>
      </tp>
      <tp t="s">
        <v>#N/A Requesting Data...685351861</v>
        <stp/>
        <stp>BDP|10255240493843958419</stp>
        <tr r="AQ27" s="14"/>
      </tp>
      <tp t="s">
        <v>#N/A Requesting Data...3348573648</v>
        <stp/>
        <stp>BDP|11513985443522321203</stp>
        <tr r="M19" s="1"/>
      </tp>
      <tp t="s">
        <v>#N/A N/A</v>
        <stp/>
        <stp>BDP|14312872011284172590</stp>
        <tr r="AH57" s="14"/>
        <tr r="AH57" s="14"/>
      </tp>
      <tp t="s">
        <v>#N/A N/A</v>
        <stp/>
        <stp>BDP|10258111265838389381</stp>
        <tr r="AH42" s="14"/>
        <tr r="AH42" s="14"/>
      </tp>
      <tp t="s">
        <v>#N/A Requesting Data...1794185484</v>
        <stp/>
        <stp>BDP|11928108230247651829</stp>
        <tr r="D26" s="16"/>
        <tr r="E28" s="14"/>
      </tp>
      <tp t="s">
        <v>#N/A Requesting Data...2818946246</v>
        <stp/>
        <stp>BDP|14960714812109019769</stp>
        <tr r="D106" s="16"/>
        <tr r="E108" s="14"/>
      </tp>
      <tp t="s">
        <v>#N/A Requesting Data...754241173</v>
        <stp/>
        <stp>BDP|16962340285820274163</stp>
        <tr r="AQ55" s="14"/>
      </tp>
      <tp t="s">
        <v>#N/A Requesting Data...2199580800</v>
        <stp/>
        <stp>BDP|14386203179908380553</stp>
        <tr r="AH30" s="14"/>
      </tp>
      <tp t="s">
        <v>#N/A Requesting Data...2679118492</v>
        <stp/>
        <stp>BDP|13022912092768714781</stp>
        <tr r="AN57" s="14"/>
      </tp>
      <tp t="s">
        <v>#N/A Requesting Data...4148828872</v>
        <stp/>
        <stp>BDP|17149630859618500024</stp>
        <tr r="AK13" s="14"/>
      </tp>
      <tp t="s">
        <v>#N/A N/A</v>
        <stp/>
        <stp>BDP|17610853045370965733</stp>
        <tr r="T53" s="14"/>
        <tr r="T53" s="14"/>
      </tp>
      <tp t="s">
        <v>#N/A Requesting Data...3896415298</v>
        <stp/>
        <stp>BDP|12478968522586966361</stp>
        <tr r="AU110" s="14"/>
      </tp>
      <tp t="s">
        <v>#N/A Requesting Data...2500104230</v>
        <stp/>
        <stp>BDP|17121204883531852054</stp>
        <tr r="H11" s="5"/>
      </tp>
      <tp t="s">
        <v>#N/A Requesting Data...2942800909</v>
        <stp/>
        <stp>BDP|10555717983051907216</stp>
        <tr r="C99" s="14"/>
      </tp>
      <tp t="s">
        <v>#N/A Requesting Data...3560755488</v>
        <stp/>
        <stp>BDP|12629455384757948510</stp>
        <tr r="AS49" s="14"/>
      </tp>
      <tp t="s">
        <v>#N/A N/A</v>
        <stp/>
        <stp>BDP|16397270482962142280</stp>
        <tr r="N15" s="7"/>
      </tp>
      <tp t="s">
        <v>#N/A Requesting Data...2298374150</v>
        <stp/>
        <stp>BDP|12989885848146143466</stp>
        <tr r="F21" s="16"/>
      </tp>
      <tp t="s">
        <v>#N/A Requesting Data...1697993812</v>
        <stp/>
        <stp>BDP|10861986214863234788</stp>
        <tr r="I29" s="14"/>
      </tp>
      <tp t="s">
        <v>#N/A Requesting Data...2598897521</v>
        <stp/>
        <stp>BDP|12725760827842129999</stp>
        <tr r="AB72" s="14"/>
        <tr r="AB72" s="14"/>
      </tp>
      <tp t="s">
        <v>#N/A Requesting Data...2425335395</v>
        <stp/>
        <stp>BDP|17098677671829918311</stp>
        <tr r="AS48" s="14"/>
      </tp>
      <tp t="s">
        <v>#N/A Requesting Data...2004041565</v>
        <stp/>
        <stp>BDP|17889562940823333937</stp>
        <tr r="D102" s="12"/>
      </tp>
      <tp t="s">
        <v>#N/A Requesting Data...3141686004</v>
        <stp/>
        <stp>BDP|15574909685608746066</stp>
        <tr r="AM43" s="14"/>
      </tp>
      <tp t="s">
        <v>#N/A N/A</v>
        <stp/>
        <stp>BDP|11433207616887363902</stp>
        <tr r="W14" s="6"/>
      </tp>
      <tp t="s">
        <v>#N/A Requesting Data...508651201</v>
        <stp/>
        <stp>BDP|16140298886247647795</stp>
        <tr r="AT33" s="14"/>
      </tp>
      <tp t="s">
        <v>#N/A N/A</v>
        <stp/>
        <stp>BDP|13687863048343820014</stp>
        <tr r="J32" s="14"/>
        <tr r="J32" s="14"/>
      </tp>
      <tp t="s">
        <v>#N/A Requesting Data...899739428</v>
        <stp/>
        <stp>BDP|15141059596977295710</stp>
        <tr r="AE102" s="14"/>
      </tp>
      <tp t="s">
        <v>#N/A Requesting Data...2303399810</v>
        <stp/>
        <stp>BDP|17460922613702480106</stp>
        <tr r="E91" s="16"/>
      </tp>
      <tp t="s">
        <v>#N/A Requesting Data...4019031911</v>
        <stp/>
        <stp>BDP|14641900672221447711</stp>
        <tr r="I100" s="14"/>
        <tr r="I100" s="14"/>
      </tp>
      <tp t="s">
        <v>#N/A Requesting Data...1303588080</v>
        <stp/>
        <stp>BDP|15884805515151528199</stp>
        <tr r="F77" s="16"/>
      </tp>
      <tp t="s">
        <v>#N/A N/A</v>
        <stp/>
        <stp>BDP|12315627434692308977</stp>
        <tr r="W22" s="6"/>
      </tp>
      <tp t="s">
        <v>#N/A N/A</v>
        <stp/>
        <stp>BDP|17394619487623408619</stp>
        <tr r="X12" s="4"/>
      </tp>
      <tp t="s">
        <v>#N/A Requesting Data...1934872450</v>
        <stp/>
        <stp>BDP|14353561983096331355</stp>
        <tr r="AO59" s="14"/>
        <tr r="AO59" s="14"/>
      </tp>
      <tp t="s">
        <v>#N/A Requesting Data...901912883</v>
        <stp/>
        <stp>BDP|11140649436228494073</stp>
        <tr r="F24" s="16"/>
      </tp>
      <tp t="s">
        <v>#N/A Requesting Data...3243399161</v>
        <stp/>
        <stp>BDP|11334842334986721071</stp>
        <tr r="AD13" s="14"/>
      </tp>
      <tp t="s">
        <v>#N/A Requesting Data...4265295807</v>
        <stp/>
        <stp>BDP|16471568692580133620</stp>
        <tr r="C31" s="14"/>
      </tp>
      <tp t="s">
        <v>#N/A Requesting Data...2138962269</v>
        <stp/>
        <stp>BDP|13091865633177341357</stp>
        <tr r="C20" s="14"/>
      </tp>
      <tp t="s">
        <v>#N/A N/A</v>
        <stp/>
        <stp>BDP|11016320580281364726</stp>
        <tr r="AL14" s="1"/>
      </tp>
      <tp t="s">
        <v>#N/A N/A</v>
        <stp/>
        <stp>BDP|16451004985012164037</stp>
        <tr r="L22" s="16"/>
        <tr r="L23" s="16"/>
      </tp>
      <tp t="s">
        <v>#N/A Requesting Data...1440743554</v>
        <stp/>
        <stp>BDP|18011763459980979646</stp>
        <tr r="C63" s="16"/>
        <tr r="D65" s="14"/>
      </tp>
      <tp t="s">
        <v>#N/A N/A</v>
        <stp/>
        <stp>BDP|13356244797305587170</stp>
        <tr r="F20" s="7"/>
      </tp>
      <tp t="s">
        <v>#N/A Requesting Data...1750850998</v>
        <stp/>
        <stp>BDP|10404868755590657131</stp>
        <tr r="C81" s="14"/>
      </tp>
      <tp t="s">
        <v>#N/A Requesting Data...3006591520</v>
        <stp/>
        <stp>BDP|10255349886272754555</stp>
        <tr r="AR64" s="14"/>
      </tp>
      <tp t="s">
        <v>#N/A Requesting Data...3498401021</v>
        <stp/>
        <stp>BDP|12185590530340925834</stp>
        <tr r="F35" s="16"/>
      </tp>
      <tp t="s">
        <v>#N/A Requesting Data...697150806</v>
        <stp/>
        <stp>BDP|12384449480802120046</stp>
        <tr r="D112" s="12"/>
      </tp>
      <tp t="s">
        <v>#N/A Requesting Data...1945064949</v>
        <stp/>
        <stp>BDP|18422241796637057847</stp>
        <tr r="AE108" s="14"/>
      </tp>
      <tp t="s">
        <v>#N/A N/A</v>
        <stp/>
        <stp>BDP|12109751182927667628</stp>
        <tr r="T88" s="14"/>
        <tr r="T88" s="14"/>
      </tp>
      <tp t="s">
        <v>#N/A N/A</v>
        <stp/>
        <stp>BDS|14926779688733946493</stp>
        <tr r="AI96" s="14"/>
        <tr r="AI96" s="14"/>
      </tp>
      <tp t="s">
        <v>#N/A N/A</v>
        <stp/>
        <stp>BDP|10694751565519673457</stp>
        <tr r="R11" s="1"/>
      </tp>
      <tp t="s">
        <v>#N/A Requesting Data...1811461083</v>
        <stp/>
        <stp>BDP|12653674171457203879</stp>
        <tr r="AU96" s="14"/>
      </tp>
      <tp t="s">
        <v>#N/A Requesting Data...3875262594</v>
        <stp/>
        <stp>BDP|10927859343944284489</stp>
        <tr r="AP85" s="14"/>
      </tp>
      <tp t="s">
        <v>#N/A Requesting Data...1644462401</v>
        <stp/>
        <stp>BDP|16835972039985597563</stp>
        <tr r="J22" s="1"/>
      </tp>
      <tp t="s">
        <v>#N/A Requesting Data...1925803912</v>
        <stp/>
        <stp>BDP|11387831060814720721</stp>
        <tr r="C56" s="14"/>
      </tp>
      <tp t="s">
        <v>#N/A Requesting Data...2330112192</v>
        <stp/>
        <stp>BDP|14585830206422667238</stp>
        <tr r="AU46" s="14"/>
      </tp>
      <tp t="s">
        <v>#N/A N/A</v>
        <stp/>
        <stp>BDP|14503745041099336261</stp>
        <tr r="E16" s="6"/>
      </tp>
      <tp t="s">
        <v>#N/A N/A</v>
        <stp/>
        <stp>BDP|18120384065561007097</stp>
        <tr r="G21" s="7"/>
      </tp>
      <tp t="s">
        <v>#N/A Requesting Data...2204063503</v>
        <stp/>
        <stp>BDP|15967617597311904729</stp>
        <tr r="C95" s="12"/>
      </tp>
      <tp t="s">
        <v>#N/A Requesting Data...4271696322</v>
        <stp/>
        <stp>BDP|11057517669426982851</stp>
        <tr r="AK69" s="14"/>
      </tp>
      <tp t="s">
        <v>#N/A Requesting Data...1603189251</v>
        <stp/>
        <stp>BDP|17030972854557181061</stp>
        <tr r="AK21" s="1"/>
      </tp>
      <tp t="s">
        <v>#N/A Requesting Data...3623973334</v>
        <stp/>
        <stp>BDP|10093162495591340546</stp>
        <tr r="AJ20" s="1"/>
      </tp>
      <tp t="s">
        <v>#N/A N/A</v>
        <stp/>
        <stp>BDP|11576604122899329009</stp>
        <tr r="J75" s="14"/>
        <tr r="J75" s="14"/>
      </tp>
      <tp t="s">
        <v>#N/A Requesting Data...2622731627</v>
        <stp/>
        <stp>BDP|15105099588124190556</stp>
        <tr r="H89" s="14"/>
      </tp>
      <tp t="s">
        <v>#N/A N/A</v>
        <stp/>
        <stp>BDP|12837962846421574294</stp>
        <tr r="G20" s="1"/>
      </tp>
      <tp t="s">
        <v>#N/A Requesting Data...2558307651</v>
        <stp/>
        <stp>BDP|13228858707741482600</stp>
        <tr r="I98" s="14"/>
        <tr r="I98" s="14"/>
      </tp>
      <tp t="s">
        <v>#N/A Requesting Data...658837328</v>
        <stp/>
        <stp>BDP|14026278862649678540</stp>
        <tr r="AN62" s="14"/>
      </tp>
      <tp t="s">
        <v>#N/A Requesting Data...1860197263</v>
        <stp/>
        <stp>BDP|13555663298443936359</stp>
        <tr r="C20" s="12"/>
      </tp>
      <tp t="s">
        <v>#N/A Requesting Data...787605685</v>
        <stp/>
        <stp>BDP|10123987719857139361</stp>
        <tr r="H64" s="16"/>
        <tr r="H64" s="16"/>
        <tr r="F66" s="14"/>
        <tr r="F66" s="14"/>
      </tp>
      <tp t="s">
        <v>#N/A Requesting Data...727605206</v>
        <stp/>
        <stp>BDP|12404768705988354131</stp>
        <tr r="C73" s="12"/>
      </tp>
      <tp t="s">
        <v>#N/A N/A</v>
        <stp/>
        <stp>BDP|12301888859374475719</stp>
        <tr r="AC15" s="4"/>
      </tp>
      <tp t="s">
        <v>#N/A Requesting Data...3979392955</v>
        <stp/>
        <stp>BDP|11181866852911347108</stp>
        <tr r="D67" s="16"/>
        <tr r="E69" s="14"/>
      </tp>
      <tp t="s">
        <v>#N/A Requesting Data...2804225534</v>
        <stp/>
        <stp>BDP|17815509619027028873</stp>
        <tr r="E96" s="14"/>
        <tr r="D94" s="16"/>
      </tp>
      <tp t="s">
        <v>#N/A N/A</v>
        <stp/>
        <stp>BDP|13525386848360104828</stp>
        <tr r="L18" s="16"/>
      </tp>
      <tp t="s">
        <v>#N/A N/A</v>
        <stp/>
        <stp>BDP|17949318452109968455</stp>
        <tr r="K22" s="16"/>
        <tr r="K23" s="16"/>
      </tp>
      <tp t="s">
        <v>#N/A Requesting Data...878548109</v>
        <stp/>
        <stp>BDP|11228693180511504283</stp>
        <tr r="D39" s="16"/>
        <tr r="E41" s="14"/>
      </tp>
      <tp t="s">
        <v>#N/A N/A</v>
        <stp/>
        <stp>BDP|17413208524842568930</stp>
        <tr r="AH37" s="14"/>
        <tr r="AH37" s="14"/>
      </tp>
      <tp t="s">
        <v>#N/A Requesting Data...3350643250</v>
        <stp/>
        <stp>BDP|17877663039429574741</stp>
        <tr r="H18" s="16"/>
        <tr r="H18" s="16"/>
        <tr r="F20" s="14"/>
        <tr r="F20" s="14"/>
      </tp>
      <tp t="s">
        <v>#N/A N/A</v>
        <stp/>
        <stp>BDH|17375082759648839687</stp>
        <tr r="AE105" s="14"/>
      </tp>
      <tp t="s">
        <v>#N/A N/A</v>
        <stp/>
        <stp>BDH|17745605754721050978</stp>
        <tr r="AE42" s="14"/>
      </tp>
      <tp t="s">
        <v>#N/A N/A</v>
        <stp/>
        <stp>BDH|14665466490302504715</stp>
        <tr r="AI80" s="14"/>
      </tp>
      <tp t="s">
        <v>#N/A N/A</v>
        <stp/>
        <stp>BDH|16751558000119633622</stp>
        <tr r="AI109" s="14"/>
      </tp>
      <tp t="s">
        <v>#N/A N/A</v>
        <stp/>
        <stp>BDH|15155186982221487170</stp>
        <tr r="AE67" s="14"/>
      </tp>
      <tp t="s">
        <v>#N/A N/A</v>
        <stp/>
        <stp>BDH|13698943389189577732</stp>
        <tr r="AI69" s="14"/>
      </tp>
      <tp t="s">
        <v>#N/A N/A</v>
        <stp/>
        <stp>BDH|14085784114987361907</stp>
        <tr r="W18" s="7"/>
      </tp>
      <tp t="s">
        <v>#N/A N/A</v>
        <stp/>
        <stp>BDH|17237484915927593946</stp>
        <tr r="AI110" s="14"/>
      </tp>
      <tp t="s">
        <v>#N/A N/A</v>
        <stp/>
        <stp>BADDPERIODS|11678256213348346201</stp>
        <tr r="AH37" s="14"/>
      </tp>
    </main>
    <main first="bofaddin.rtdserver">
      <tp t="s">
        <v>#N/A Requesting Data...873432948</v>
        <stp/>
        <stp>BDP|11020485817860642907</stp>
        <tr r="V35" s="14"/>
      </tp>
      <tp t="s">
        <v>#N/A N/A</v>
        <stp/>
        <stp>BDP|14453775385650890662</stp>
        <tr r="K99" s="16"/>
      </tp>
      <tp t="s">
        <v>#N/A Requesting Data...1212792998</v>
        <stp/>
        <stp>BDP|13542386492020712404</stp>
        <tr r="AL77" s="14"/>
      </tp>
      <tp t="s">
        <v>#N/A Requesting Data...3384972002</v>
        <stp/>
        <stp>BDP|13517236292322510791</stp>
        <tr r="I52" s="14"/>
        <tr r="I52" s="14"/>
      </tp>
      <tp t="s">
        <v>#N/A Requesting Data...849540019</v>
        <stp/>
        <stp>BDP|11641046787331903545</stp>
        <tr r="E79" s="14"/>
        <tr r="D77" s="16"/>
      </tp>
      <tp t="s">
        <v>#N/A Requesting Data...3154511557</v>
        <stp/>
        <stp>BDP|10900312392033199400</stp>
        <tr r="D33" s="16"/>
        <tr r="E35" s="14"/>
      </tp>
      <tp t="s">
        <v>#N/A N/A</v>
        <stp/>
        <stp>BDP|11388650092394729780</stp>
        <tr r="M12" s="4"/>
      </tp>
      <tp t="s">
        <v>#N/A Requesting Data...2630248785</v>
        <stp/>
        <stp>BDP|15001806238812675150</stp>
        <tr r="AH89" s="14"/>
      </tp>
      <tp t="s">
        <v>#N/A N/A</v>
        <stp/>
        <stp>BDS|17621212330772759984</stp>
        <tr r="I53" s="12"/>
      </tp>
      <tp t="s">
        <v>#N/A N/A</v>
        <stp/>
        <stp>BDP|11969105294100549433</stp>
        <tr r="D22" s="6"/>
      </tp>
      <tp t="s">
        <v>#N/A Requesting Data...1615624664</v>
        <stp/>
        <stp>BDP|16451878977755812162</stp>
        <tr r="C41" s="16"/>
        <tr r="D43" s="14"/>
      </tp>
      <tp t="s">
        <v>#N/A N/A</v>
        <stp/>
        <stp>BDS|17898153128570531994</stp>
        <tr r="AI12" s="14"/>
        <tr r="AI12" s="14"/>
      </tp>
      <tp t="s">
        <v>#N/A N/A</v>
        <stp/>
        <stp>BDP|12890969175810475153</stp>
        <tr r="S17" s="7"/>
      </tp>
      <tp t="s">
        <v>#N/A Requesting Data...2293676254</v>
        <stp/>
        <stp>BDP|17889765840849377071</stp>
        <tr r="D17" s="16"/>
        <tr r="E19" s="14"/>
      </tp>
      <tp t="s">
        <v>#N/A Requesting Data...1029965672</v>
        <stp/>
        <stp>BDP|11943690457307927844</stp>
        <tr r="I101" s="14"/>
      </tp>
      <tp t="s">
        <v>#N/A Requesting Data...1607852603</v>
        <stp/>
        <stp>BDP|11990403989170892022</stp>
        <tr r="C83" s="14"/>
      </tp>
      <tp t="s">
        <v>#N/A Requesting Data...2674728368</v>
        <stp/>
        <stp>BDP|17760139269389281454</stp>
        <tr r="H91" s="14"/>
        <tr r="H90" s="14"/>
      </tp>
      <tp t="s">
        <v>#N/A Requesting Data...1517871852</v>
        <stp/>
        <stp>BDP|10101942858102439330</stp>
        <tr r="AL48" s="14"/>
      </tp>
      <tp t="s">
        <v>#N/A Requesting Data...3163554323</v>
        <stp/>
        <stp>BDP|10205315720064016894</stp>
        <tr r="D94" s="12"/>
      </tp>
      <tp t="s">
        <v>#N/A N/A</v>
        <stp/>
        <stp>BDP|14453393584371379307</stp>
        <tr r="AH20" s="14"/>
        <tr r="AH20" s="14"/>
      </tp>
      <tp t="s">
        <v>#N/A N/A</v>
        <stp/>
        <stp>BDP|15818723489793868417</stp>
        <tr r="J86" s="14"/>
        <tr r="J86" s="14"/>
      </tp>
      <tp t="s">
        <v>#N/A Requesting Data...3691206012</v>
        <stp/>
        <stp>BDP|15658386273305851987</stp>
        <tr r="AE59" s="14"/>
      </tp>
      <tp t="s">
        <v>#N/A Requesting Data...3121097692</v>
        <stp/>
        <stp>BDP|14434709951243927806</stp>
        <tr r="AB65" s="14"/>
        <tr r="AB65" s="14"/>
      </tp>
      <tp t="s">
        <v>#N/A Requesting Data...3550314556</v>
        <stp/>
        <stp>BDP|11765337334409920564</stp>
        <tr r="AF87" s="14"/>
      </tp>
      <tp t="s">
        <v>#N/A N/A</v>
        <stp/>
        <stp>BDP|10650403691021926116</stp>
        <tr r="L79" s="16"/>
        <tr r="L80" s="16"/>
        <tr r="L78" s="16"/>
      </tp>
      <tp t="s">
        <v>#N/A Requesting Data...2703113919</v>
        <stp/>
        <stp>BDP|12933024182095431223</stp>
        <tr r="AU64" s="14"/>
      </tp>
      <tp t="s">
        <v>#N/A Requesting Data...3055224784</v>
        <stp/>
        <stp>BDP|15155263039069041008</stp>
        <tr r="H58" s="16"/>
        <tr r="H58" s="16"/>
        <tr r="F60" s="14"/>
        <tr r="F60" s="14"/>
      </tp>
      <tp t="s">
        <v>#N/A Requesting Data...2703351839</v>
        <stp/>
        <stp>BDP|10404155681290734498</stp>
        <tr r="I40" s="14"/>
      </tp>
      <tp t="s">
        <v>#N/A N/A</v>
        <stp/>
        <stp>BDP|15942220841918797636</stp>
        <tr r="R21" s="1"/>
      </tp>
      <tp t="s">
        <v>#N/A Requesting Data...781532877</v>
        <stp/>
        <stp>BDP|12333358818874049907</stp>
        <tr r="D39" s="14"/>
        <tr r="C37" s="16"/>
      </tp>
      <tp t="s">
        <v>#N/A Requesting Data...3633590321</v>
        <stp/>
        <stp>BDP|11884462304789490103</stp>
        <tr r="C55" s="14"/>
      </tp>
      <tp t="s">
        <v>#N/A N/A</v>
        <stp/>
        <stp>BDP|16755314543588897438</stp>
        <tr r="AH39" s="14"/>
        <tr r="AH39" s="14"/>
      </tp>
      <tp t="s">
        <v>#N/A Requesting Data...2355918705</v>
        <stp/>
        <stp>BDP|12160653678798412699</stp>
        <tr r="C80" s="14"/>
      </tp>
      <tp t="s">
        <v>#N/A Requesting Data...2150030441</v>
        <stp/>
        <stp>BDP|13014449673684664901</stp>
        <tr r="G94" s="14"/>
      </tp>
      <tp t="s">
        <v>#N/A N/A</v>
        <stp/>
        <stp>BDP|17657432532608687501</stp>
        <tr r="T69" s="14"/>
        <tr r="T69" s="14"/>
      </tp>
      <tp t="s">
        <v>#N/A Requesting Data...3592953479</v>
        <stp/>
        <stp>BDP|17234430987833140562</stp>
        <tr r="H57" s="16"/>
        <tr r="H57" s="16"/>
        <tr r="F59" s="14"/>
        <tr r="F59" s="14"/>
      </tp>
      <tp t="s">
        <v>#N/A Requesting Data...3415234433</v>
        <stp/>
        <stp>BDP|10903938958577371606</stp>
        <tr r="H29" s="14"/>
      </tp>
      <tp t="s">
        <v>#N/A Requesting Data...1975425761</v>
        <stp/>
        <stp>BDP|15094628498473839434</stp>
        <tr r="AO103" s="14"/>
        <tr r="AO103" s="14"/>
      </tp>
      <tp t="s">
        <v>#N/A Requesting Data...3009608430</v>
        <stp/>
        <stp>BDP|16470000788554418792</stp>
        <tr r="AL30" s="14"/>
      </tp>
      <tp t="s">
        <v>#N/A N/A</v>
        <stp/>
        <stp>BDP|17957101583524353785</stp>
        <tr r="AK13" s="1"/>
      </tp>
      <tp t="s">
        <v>#N/A Requesting Data...3323378331</v>
        <stp/>
        <stp>BDP|17524596294806953013</stp>
        <tr r="AU58" s="14"/>
      </tp>
      <tp t="s">
        <v>#N/A N/A</v>
        <stp/>
        <stp>BDP|13549879775907783604</stp>
        <tr r="Z15" s="4"/>
      </tp>
      <tp t="s">
        <v>#N/A Requesting Data...4251073732</v>
        <stp/>
        <stp>BDP|16032045616663086927</stp>
        <tr r="AS50" s="14"/>
      </tp>
      <tp t="s">
        <v>#N/A Requesting Data...1111357453</v>
        <stp/>
        <stp>BDP|16370734547919430136</stp>
        <tr r="AL36" s="14"/>
      </tp>
      <tp t="s">
        <v>#N/A N/A</v>
        <stp/>
        <stp>BDP|13313045786501794767</stp>
        <tr r="AC11" s="1"/>
      </tp>
      <tp t="s">
        <v>#N/A Requesting Data...1189629099</v>
        <stp/>
        <stp>BDP|13051849069460873051</stp>
        <tr r="AF64" s="14"/>
      </tp>
      <tp t="s">
        <v>#N/A Requesting Data...2817925530</v>
        <stp/>
        <stp>BDP|18419291214191997704</stp>
        <tr r="C88" s="16"/>
        <tr r="D90" s="14"/>
        <tr r="C89" s="16"/>
        <tr r="D91" s="14"/>
      </tp>
      <tp t="s">
        <v>#N/A Requesting Data...3741826096</v>
        <stp/>
        <stp>BDP|16938860059357017162</stp>
        <tr r="C12" s="12"/>
      </tp>
      <tp t="s">
        <v>#N/A Requesting Data...1929026152</v>
        <stp/>
        <stp>BDP|16278916273680003504</stp>
        <tr r="H103" s="16"/>
        <tr r="H103" s="16"/>
        <tr r="F105" s="14"/>
        <tr r="F105" s="14"/>
      </tp>
      <tp t="s">
        <v>#N/A Requesting Data...3334254108</v>
        <stp/>
        <stp>BDP|16339851435551638156</stp>
        <tr r="D55" s="16"/>
        <tr r="E57" s="14"/>
      </tp>
      <tp t="s">
        <v>#N/A N/A</v>
        <stp/>
        <stp>BDP|15599250442259395713</stp>
        <tr r="W13" s="6"/>
      </tp>
      <tp t="s">
        <v>#N/A Requesting Data...3358155101</v>
        <stp/>
        <stp>BDP|13789923443324510739</stp>
        <tr r="H20" s="14"/>
      </tp>
      <tp t="s">
        <v>#N/A Requesting Data...848565667</v>
        <stp/>
        <stp>BDP|17899678704275358983</stp>
        <tr r="AN39" s="14"/>
      </tp>
      <tp t="s">
        <v>#N/A Requesting Data...1748289008</v>
        <stp/>
        <stp>BDP|15191256226471462957</stp>
        <tr r="AB51" s="14"/>
        <tr r="AB51" s="14"/>
      </tp>
      <tp t="s">
        <v>#N/A Requesting Data...1469674585</v>
        <stp/>
        <stp>BDP|18388859692260533422</stp>
        <tr r="AT20" s="14"/>
      </tp>
      <tp t="s">
        <v>#N/A Requesting Data...2642381842</v>
        <stp/>
        <stp>BDP|14344073904748738143</stp>
        <tr r="E71" s="16"/>
      </tp>
      <tp t="s">
        <v>#N/A Requesting Data...1040311514</v>
        <stp/>
        <stp>BDP|10327840515563469754</stp>
        <tr r="E63" s="16"/>
      </tp>
      <tp t="s">
        <v>#N/A Requesting Data...2790278651</v>
        <stp/>
        <stp>BDP|10444933617767477273</stp>
        <tr r="D59" s="12"/>
      </tp>
      <tp t="s">
        <v>#N/A Requesting Data...3910977833</v>
        <stp/>
        <stp>BDP|15261230084034250647</stp>
        <tr r="E46" s="16"/>
      </tp>
      <tp t="s">
        <v>#N/A Requesting Data...2249819968</v>
        <stp/>
        <stp>BDP|13644508971304654839</stp>
        <tr r="I83" s="14"/>
      </tp>
      <tp t="s">
        <v>#N/A Requesting Data...1729310522</v>
        <stp/>
        <stp>BDP|16586613728098713799</stp>
        <tr r="F21" s="1"/>
      </tp>
      <tp t="s">
        <v>#N/A Requesting Data...3509401061</v>
        <stp/>
        <stp>BDP|14059277825291239823</stp>
        <tr r="AS22" s="14"/>
      </tp>
      <tp t="s">
        <v>#N/A Requesting Data...1363913597</v>
        <stp/>
        <stp>BDP|12011147787633224536</stp>
        <tr r="C38" s="14"/>
      </tp>
      <tp t="s">
        <v>#N/A N/A</v>
        <stp/>
        <stp>BDP|12948791612781194860</stp>
        <tr r="Z37" s="14"/>
      </tp>
      <tp t="s">
        <v>#N/A Requesting Data...2319965009</v>
        <stp/>
        <stp>BDP|16016751754849710030</stp>
        <tr r="AD54" s="14"/>
      </tp>
      <tp t="s">
        <v>#N/A Requesting Data...3204936279</v>
        <stp/>
        <stp>BDP|10147391036074334988</stp>
        <tr r="AK90" s="14"/>
        <tr r="AK91" s="14"/>
      </tp>
      <tp t="s">
        <v>#N/A Requesting Data...3640309402</v>
        <stp/>
        <stp>BDP|12398972337970554534</stp>
        <tr r="AB36" s="14"/>
        <tr r="AB36" s="14"/>
      </tp>
      <tp t="s">
        <v>#N/A Requesting Data...2795384777</v>
        <stp/>
        <stp>BDP|15257828502960241050</stp>
        <tr r="AU48" s="14"/>
      </tp>
      <tp t="s">
        <v>#N/A N/A</v>
        <stp/>
        <stp>BDP|10188710894555798663</stp>
        <tr r="J89" s="16"/>
        <tr r="J88" s="16"/>
      </tp>
      <tp t="s">
        <v>#N/A Requesting Data...842518994</v>
        <stp/>
        <stp>BDP|14423445174649422356</stp>
        <tr r="AP36" s="14"/>
      </tp>
      <tp t="s">
        <v>#N/A Requesting Data...3332513177</v>
        <stp/>
        <stp>BDP|13713166191701035756</stp>
        <tr r="V52" s="14"/>
      </tp>
      <tp t="s">
        <v>#N/A N/A</v>
        <stp/>
        <stp>BDP|18012156961890565251</stp>
        <tr r="E25" s="6"/>
      </tp>
      <tp t="s">
        <v>#N/A N/A</v>
        <stp/>
        <stp>BDP|16260813467626156319</stp>
        <tr r="K91" s="16"/>
      </tp>
      <tp t="s">
        <v>#N/A Requesting Data...1745096029</v>
        <stp/>
        <stp>BDP|16056208579708513686</stp>
        <tr r="C12" s="16"/>
        <tr r="D14" s="14"/>
      </tp>
      <tp t="s">
        <v>#N/A Requesting Data...3180622587</v>
        <stp/>
        <stp>BDP|16268431473239566130</stp>
        <tr r="C29" s="16"/>
        <tr r="D31" s="14"/>
      </tp>
      <tp t="s">
        <v>#N/A Requesting Data...1048764434</v>
        <stp/>
        <stp>BDP|13707441166925009919</stp>
        <tr r="K28" s="14"/>
      </tp>
      <tp t="s">
        <v>#N/A N/A</v>
        <stp/>
        <stp>BDP|15039827791469501027</stp>
        <tr r="L89" s="16"/>
        <tr r="L88" s="16"/>
      </tp>
      <tp t="s">
        <v>#N/A Requesting Data...3154647053</v>
        <stp/>
        <stp>BDP|11274449090695430451</stp>
        <tr r="C13" s="14"/>
      </tp>
      <tp t="s">
        <v>#N/A N/A</v>
        <stp/>
        <stp>BDP|14431698368231755853</stp>
        <tr r="J18" s="16"/>
      </tp>
      <tp t="s">
        <v>#N/A Requesting Data...3236436216</v>
        <stp/>
        <stp>BDP|17623350389996926744</stp>
        <tr r="G15" s="16"/>
      </tp>
      <tp t="s">
        <v>#N/A Requesting Data...1530866159</v>
        <stp/>
        <stp>BDP|17164346998067232780</stp>
        <tr r="AD20" s="14"/>
      </tp>
      <tp t="s">
        <v>#N/A N/A</v>
        <stp/>
        <stp>BDP|11707859902145311148</stp>
        <tr r="V16" s="7"/>
      </tp>
      <tp t="s">
        <v>#N/A N/A</v>
        <stp/>
        <stp>BDP|13513413591496714556</stp>
        <tr r="AH32" s="14"/>
        <tr r="AH32" s="14"/>
      </tp>
      <tp t="s">
        <v>#N/A Requesting Data...3782809703</v>
        <stp/>
        <stp>BDP|12284485149367762839</stp>
        <tr r="H61" s="14"/>
      </tp>
      <tp t="s">
        <v>#N/A Requesting Data...2373769980</v>
        <stp/>
        <stp>BDP|16697351493342328349</stp>
        <tr r="AF24" s="14"/>
      </tp>
      <tp t="s">
        <v>#N/A Requesting Data...3802772971</v>
        <stp/>
        <stp>BDP|12352031630964757808</stp>
        <tr r="E31" s="14"/>
        <tr r="D29" s="16"/>
      </tp>
      <tp t="s">
        <v>#N/A Requesting Data...1645748053</v>
        <stp/>
        <stp>BDP|12244913945347013513</stp>
        <tr r="C73" s="14"/>
      </tp>
      <tp t="s">
        <v>#N/A Requesting Data...4267943936</v>
        <stp/>
        <stp>BDP|16832040187887985457</stp>
        <tr r="AN44" s="14"/>
      </tp>
      <tp t="s">
        <v>#N/A Requesting Data...2792831580</v>
        <stp/>
        <stp>BDP|10012993483795469997</stp>
        <tr r="AK102" s="14"/>
      </tp>
      <tp t="s">
        <v>#N/A Requesting Data...3183813947</v>
        <stp/>
        <stp>BDP|12445878181389641621</stp>
        <tr r="C94" s="12"/>
      </tp>
      <tp t="s">
        <v>#N/A Requesting Data...3306545885</v>
        <stp/>
        <stp>BDP|16481177683752783019</stp>
        <tr r="I54" s="14"/>
      </tp>
      <tp t="s">
        <v>#N/A Requesting Data...1103155963</v>
        <stp/>
        <stp>BDP|10514514654224793917</stp>
        <tr r="M11" s="5"/>
      </tp>
      <tp t="s">
        <v>#N/A N/A</v>
        <stp/>
        <stp>BDP|18420671994493817998</stp>
        <tr r="Y105" s="14"/>
      </tp>
      <tp t="s">
        <v>#N/A Requesting Data...1502770030</v>
        <stp/>
        <stp>BDP|15185750025195339846</stp>
        <tr r="AT23" s="14"/>
      </tp>
      <tp t="s">
        <v>#N/A Requesting Data...692243541</v>
        <stp/>
        <stp>BDP|17751831542737503153</stp>
        <tr r="E60" s="16"/>
      </tp>
      <tp t="s">
        <v>#N/A Requesting Data...1645947080</v>
        <stp/>
        <stp>BDP|13832215301538655481</stp>
        <tr r="AU12" s="14"/>
      </tp>
      <tp t="s">
        <v>#N/A Requesting Data...2464963965</v>
        <stp/>
        <stp>BDP|14255225252749769735</stp>
        <tr r="AD105" s="14"/>
      </tp>
      <tp t="s">
        <v>#N/A N/A</v>
        <stp/>
        <stp>BDH|13884070440923888966</stp>
        <tr r="X20" s="7"/>
      </tp>
      <tp t="s">
        <v>#N/A N/A</v>
        <stp/>
        <stp>BDH|10649356953079066293</stp>
        <tr r="AI60" s="14"/>
        <tr r="AI63" s="14"/>
      </tp>
      <tp t="s">
        <v>#N/A N/A</v>
        <stp/>
        <stp>BDH|13053065310798434792</stp>
        <tr r="AE80" s="14"/>
      </tp>
      <tp t="s">
        <v>#N/A N/A</v>
        <stp/>
        <stp>BDH|16547493129784841962</stp>
        <tr r="AE13" s="4"/>
      </tp>
      <tp t="s">
        <v>#N/A N/A</v>
        <stp/>
        <stp>BDH|16640912864132854645</stp>
        <tr r="W14" s="7"/>
      </tp>
      <tp t="s">
        <v>#N/A N/A</v>
        <stp/>
        <stp>BDH|15053805623415500790</stp>
        <tr r="AN11" s="5"/>
      </tp>
      <tp t="s">
        <v>#N/A N/A</v>
        <stp/>
        <stp>BDH|14564235709213849894</stp>
        <tr r="AI49" s="14"/>
      </tp>
      <tp t="s">
        <v>#N/A N/A</v>
        <stp/>
        <stp>BADDPERIODS|13531978400770443357</stp>
        <tr r="AH110" s="14"/>
      </tp>
      <tp t="s">
        <v>#N/A N/A</v>
        <stp/>
        <stp>BDP|10475228434783805033</stp>
        <tr r="I17" s="6"/>
      </tp>
      <tp t="s">
        <v>#N/A Requesting Data...2675051920</v>
        <stp/>
        <stp>BDP|15828275746779535853</stp>
        <tr r="C115" s="12"/>
      </tp>
      <tp t="s">
        <v>#N/A N/A</v>
        <stp/>
        <stp>BDP|14143192772549064932</stp>
        <tr r="F14" s="6"/>
      </tp>
      <tp t="s">
        <v>#N/A Requesting Data...2809677571</v>
        <stp/>
        <stp>BDP|10433265611467235684</stp>
        <tr r="C111" s="12"/>
      </tp>
      <tp t="s">
        <v>#N/A Requesting Data...3285255787</v>
        <stp/>
        <stp>BDP|16553213678368291979</stp>
        <tr r="V58" s="14"/>
      </tp>
      <tp t="s">
        <v>#N/A Requesting Data...3404211462</v>
        <stp/>
        <stp>BDP|11115355432601760298</stp>
        <tr r="AK53" s="14"/>
      </tp>
      <tp t="s">
        <v>#N/A Requesting Data...1316031006</v>
        <stp/>
        <stp>BDP|13537889590343537306</stp>
        <tr r="AO14" s="14"/>
        <tr r="AO14" s="14"/>
      </tp>
      <tp t="s">
        <v>#N/A N/A</v>
        <stp/>
        <stp>BDS|14509193406452338528</stp>
        <tr r="AI58" s="14"/>
        <tr r="AI58" s="14"/>
      </tp>
      <tp t="s">
        <v>#N/A Requesting Data...3152290999</v>
        <stp/>
        <stp>BDP|14413733865681844622</stp>
        <tr r="AB48" s="14"/>
        <tr r="AB48" s="14"/>
      </tp>
      <tp t="s">
        <v>#N/A N/A</v>
        <stp/>
        <stp>BDP|17516989391560334579</stp>
        <tr r="U19" s="6"/>
      </tp>
      <tp t="s">
        <v>#N/A Requesting Data...1935463064</v>
        <stp/>
        <stp>BDP|11780687513091597510</stp>
        <tr r="I49" s="14"/>
        <tr r="I49" s="14"/>
      </tp>
      <tp t="s">
        <v>#N/A N/A</v>
        <stp/>
        <stp>BDP|16572455109455433550</stp>
        <tr r="J54" s="14"/>
      </tp>
      <tp t="s">
        <v>#N/A Requesting Data...2131385741</v>
        <stp/>
        <stp>BDP|14570882746882871883</stp>
        <tr r="C108" s="16"/>
        <tr r="D110" s="14"/>
      </tp>
      <tp t="s">
        <v>#N/A Requesting Data...3421853450</v>
        <stp/>
        <stp>BDP|16656087315986260322</stp>
        <tr r="AB90" s="14"/>
        <tr r="AB90" s="14"/>
        <tr r="AB91" s="14"/>
        <tr r="AB91" s="14"/>
      </tp>
      <tp t="s">
        <v>#N/A Requesting Data...1899814563</v>
        <stp/>
        <stp>BDP|13174036928004462758</stp>
        <tr r="AO63" s="14"/>
        <tr r="AO63" s="14"/>
      </tp>
      <tp t="s">
        <v>#N/A N/A</v>
        <stp/>
        <stp>BDP|12403072459384949189</stp>
        <tr r="I14" s="7"/>
      </tp>
      <tp t="s">
        <v>#N/A N/A</v>
        <stp/>
        <stp>BDP|15540185257937742460</stp>
        <tr r="U15" s="4"/>
      </tp>
      <tp t="s">
        <v>#N/A Requesting Data...4135570359</v>
        <stp/>
        <stp>BDP|15392434151454991233</stp>
        <tr r="K24" s="14"/>
      </tp>
      <tp t="s">
        <v>#N/A Requesting Data...1919199323</v>
        <stp/>
        <stp>BDP|13072148259041542439</stp>
        <tr r="K18" s="14"/>
      </tp>
      <tp t="s">
        <v>#N/A Requesting Data...935603348</v>
        <stp/>
        <stp>BDP|14057850388610373653</stp>
        <tr r="AO99" s="14"/>
        <tr r="AO99" s="14"/>
      </tp>
      <tp t="s">
        <v>#N/A Requesting Data...4180063274</v>
        <stp/>
        <stp>BDP|14023786703966420755</stp>
        <tr r="AM104" s="14"/>
      </tp>
      <tp t="s">
        <v>#N/A Requesting Data...3704086867</v>
        <stp/>
        <stp>BDP|10443646950295895421</stp>
        <tr r="G14" s="16"/>
      </tp>
      <tp t="s">
        <v>#N/A Requesting Data...1361699226</v>
        <stp/>
        <stp>BDP|12888279815916513555</stp>
        <tr r="F10" s="12"/>
      </tp>
      <tp t="s">
        <v>#N/A Requesting Data...2470505416</v>
        <stp/>
        <stp>BDP|14417200520323668585</stp>
        <tr r="AD110" s="14"/>
      </tp>
      <tp t="s">
        <v>#N/A Requesting Data...2353977763</v>
        <stp/>
        <stp>BDP|17227700482099828321</stp>
        <tr r="AM74" s="14"/>
      </tp>
      <tp t="s">
        <v>#N/A Requesting Data...1432843946</v>
        <stp/>
        <stp>BDP|14775290134537747076</stp>
        <tr r="AO65" s="14"/>
        <tr r="AO65" s="14"/>
      </tp>
      <tp t="s">
        <v>#N/A N/A</v>
        <stp/>
        <stp>BDP|17336619408970185367</stp>
        <tr r="T24" s="7"/>
      </tp>
      <tp t="s">
        <v>#N/A Requesting Data...1669292716</v>
        <stp/>
        <stp>BDP|17655041358512442237</stp>
        <tr r="K29" s="14"/>
      </tp>
      <tp t="s">
        <v>#N/A Requesting Data...2630624095</v>
        <stp/>
        <stp>BDP|10565134964770935567</stp>
        <tr r="F65" s="14"/>
        <tr r="F65" s="14"/>
        <tr r="H63" s="16"/>
        <tr r="H63" s="16"/>
      </tp>
      <tp t="s">
        <v>#N/A N/A</v>
        <stp/>
        <stp>BDP|14711888286971146753</stp>
        <tr r="AB13" s="1"/>
      </tp>
      <tp t="s">
        <v>#N/A Requesting Data...1859743237</v>
        <stp/>
        <stp>BDP|16899589145131871400</stp>
        <tr r="AE65" s="14"/>
      </tp>
      <tp t="s">
        <v>#N/A Requesting Data...2893412646</v>
        <stp/>
        <stp>BDP|11604837372555275983</stp>
        <tr r="I18" s="1"/>
      </tp>
      <tp t="s">
        <v>#N/A Requesting Data...2528559566</v>
        <stp/>
        <stp>BDP|15860597848556728032</stp>
        <tr r="D117" s="12"/>
      </tp>
      <tp t="s">
        <v>#N/A Requesting Data...1952305424</v>
        <stp/>
        <stp>BDP|16823762645430286756</stp>
        <tr r="AR12" s="14"/>
      </tp>
      <tp t="s">
        <v>#N/A N/A</v>
        <stp/>
        <stp>BDP|16716764154794899214</stp>
        <tr r="N19" s="6"/>
      </tp>
      <tp t="s">
        <v>#N/A Requesting Data...2009165657</v>
        <stp/>
        <stp>BDP|13042331832573573281</stp>
        <tr r="I11" s="5"/>
      </tp>
      <tp t="s">
        <v>#N/A N/A</v>
        <stp/>
        <stp>BDP|13971166653390622565</stp>
        <tr r="J55" s="14"/>
      </tp>
      <tp t="s">
        <v>#N/A Requesting Data...1464638468</v>
        <stp/>
        <stp>BDP|14124057979854707556</stp>
        <tr r="D74" s="12"/>
      </tp>
      <tp t="s">
        <v>#N/A Requesting Data...2303657892</v>
        <stp/>
        <stp>BDP|13918239722501376045</stp>
        <tr r="AF18" s="14"/>
      </tp>
      <tp t="s">
        <v>#N/A N/A</v>
        <stp/>
        <stp>BDP|15085220795665085989</stp>
        <tr r="T50" s="14"/>
        <tr r="T50" s="14"/>
      </tp>
      <tp t="s">
        <v>#N/A Requesting Data...802519689</v>
        <stp/>
        <stp>BDP|18283300945305179892</stp>
        <tr r="H59" s="14"/>
      </tp>
      <tp t="s">
        <v>#N/A N/A</v>
        <stp/>
        <stp>BDS|10009174305614912775</stp>
        <tr r="AI88" s="14"/>
        <tr r="AI88" s="14"/>
      </tp>
      <tp t="s">
        <v>#N/A Requesting Data...4038669969</v>
        <stp/>
        <stp>BDP|10875618682808312470</stp>
        <tr r="AR42" s="14"/>
      </tp>
      <tp t="s">
        <v>#N/A N/A</v>
        <stp/>
        <stp>BDP|13123713258112632115</stp>
        <tr r="K9" s="16"/>
      </tp>
      <tp t="s">
        <v>#N/A Requesting Data...4138801850</v>
        <stp/>
        <stp>BDP|13223955879446439949</stp>
        <tr r="AO91" s="14"/>
        <tr r="AO91" s="14"/>
        <tr r="AO90" s="14"/>
        <tr r="AO90" s="14"/>
      </tp>
      <tp t="s">
        <v>#N/A N/A</v>
        <stp/>
        <stp>BDP|15866300743912579206</stp>
        <tr r="Z107" s="14"/>
      </tp>
      <tp t="s">
        <v>#N/A N/A</v>
        <stp/>
        <stp>BDP|14442394960591295210</stp>
        <tr r="D16" s="6"/>
      </tp>
      <tp t="s">
        <v>#N/A N/A</v>
        <stp/>
        <stp>BDP|12005089508459889967</stp>
        <tr r="AH107" s="14"/>
        <tr r="AH107" s="14"/>
      </tp>
      <tp t="s">
        <v>#N/A Requesting Data...2560127289</v>
        <stp/>
        <stp>BDP|11201186314387456440</stp>
        <tr r="AB104" s="14"/>
        <tr r="AB104" s="14"/>
      </tp>
      <tp t="s">
        <v>#N/A Requesting Data...3017865228</v>
        <stp/>
        <stp>BDP|12597550207086458321</stp>
        <tr r="AT78" s="14"/>
      </tp>
      <tp t="s">
        <v>#N/A Requesting Data...3327460796</v>
        <stp/>
        <stp>BDP|14386762510955386577</stp>
        <tr r="AH64" s="14"/>
      </tp>
      <tp t="s">
        <v>#N/A Requesting Data...2449638146</v>
        <stp/>
        <stp>BDP|13813158486400245888</stp>
        <tr r="AP104" s="14"/>
      </tp>
      <tp t="s">
        <v>#N/A N/A</v>
        <stp/>
        <stp>BDP|15428445424380365162</stp>
        <tr r="K108" s="16"/>
        <tr r="K62" s="16"/>
        <tr r="K57" s="16"/>
      </tp>
      <tp t="s">
        <v>#N/A N/A</v>
        <stp/>
        <stp>BDP|13912588855181446019</stp>
        <tr r="E16" s="1"/>
      </tp>
      <tp t="s">
        <v>#N/A Requesting Data...952651474</v>
        <stp/>
        <stp>BDP|13139505751068009912</stp>
        <tr r="AH85" s="14"/>
      </tp>
      <tp t="s">
        <v>#N/A N/A</v>
        <stp/>
        <stp>BDP|16242167467124581761</stp>
        <tr r="J29" s="14"/>
        <tr r="J29" s="14"/>
      </tp>
      <tp t="s">
        <v>#N/A Requesting Data...3126546659</v>
        <stp/>
        <stp>BDP|17733691169275588022</stp>
        <tr r="AT18" s="14"/>
      </tp>
      <tp t="s">
        <v>#N/A Requesting Data...2685219143</v>
        <stp/>
        <stp>BDP|17594843781643650660</stp>
        <tr r="AL37" s="14"/>
      </tp>
      <tp t="s">
        <v>#N/A Requesting Data...2038529203</v>
        <stp/>
        <stp>BDP|16224474325105335737</stp>
        <tr r="G41" s="14"/>
      </tp>
      <tp t="s">
        <v>#N/A Requesting Data...2625175038</v>
        <stp/>
        <stp>BDP|14965607709399746974</stp>
        <tr r="F40" s="16"/>
      </tp>
      <tp t="s">
        <v>#N/A Requesting Data...1036668692</v>
        <stp/>
        <stp>BDP|10031257474257876093</stp>
        <tr r="AN25" s="14"/>
      </tp>
      <tp t="s">
        <v>#N/A Requesting Data...2001779791</v>
        <stp/>
        <stp>BDP|17306720731163134213</stp>
        <tr r="I64" s="14"/>
        <tr r="I64" s="14"/>
      </tp>
      <tp t="s">
        <v>#N/A N/A</v>
        <stp/>
        <stp>BDP|11925570447507002590</stp>
        <tr r="P13" s="7"/>
      </tp>
      <tp t="s">
        <v>#N/A Requesting Data...3527579201</v>
        <stp/>
        <stp>BDP|15780345609374295082</stp>
        <tr r="K34" s="14"/>
      </tp>
      <tp t="s">
        <v>#N/A Requesting Data...1306027309</v>
        <stp/>
        <stp>BDP|13532031034574006622</stp>
        <tr r="F31" s="16"/>
      </tp>
      <tp t="s">
        <v>#N/A Requesting Data...1610123031</v>
        <stp/>
        <stp>BDP|14275840169199856148</stp>
        <tr r="AK44" s="14"/>
      </tp>
      <tp t="s">
        <v>#N/A Requesting Data...1036497046</v>
        <stp/>
        <stp>BDP|12928538713691965533</stp>
        <tr r="AM78" s="14"/>
      </tp>
      <tp t="s">
        <v>#N/A Requesting Data...1070395306</v>
        <stp/>
        <stp>BDP|16549765774821415507</stp>
        <tr r="AQ41" s="14"/>
      </tp>
      <tp t="s">
        <v>#N/A Requesting Data...2589191698</v>
        <stp/>
        <stp>BDP|13361039326664127745</stp>
        <tr r="C67" s="14"/>
      </tp>
      <tp t="s">
        <v>#N/A Requesting Data...2780244391</v>
        <stp/>
        <stp>BDP|13473144649255883124</stp>
        <tr r="AQ107" s="14"/>
      </tp>
      <tp t="s">
        <v>#N/A Requesting Data...2774276121</v>
        <stp/>
        <stp>BDP|14599851440723679954</stp>
        <tr r="AB50" s="14"/>
        <tr r="AB50" s="14"/>
      </tp>
      <tp t="s">
        <v>#N/A Requesting Data...4239929009</v>
        <stp/>
        <stp>BDP|13737494643063933277</stp>
        <tr r="AP15" s="14"/>
      </tp>
      <tp t="s">
        <v>#N/A N/A</v>
        <stp/>
        <stp>BDP|14857117765291852074</stp>
        <tr r="K49" s="16"/>
      </tp>
      <tp t="s">
        <v>#N/A Requesting Data...2013645566</v>
        <stp/>
        <stp>BDP|11772531169727659784</stp>
        <tr r="F22" s="16"/>
      </tp>
      <tp t="s">
        <v>#N/A N/A</v>
        <stp/>
        <stp>BDP|13995425654211832155</stp>
        <tr r="AH17" s="14"/>
        <tr r="AH17" s="14"/>
      </tp>
      <tp t="s">
        <v>#N/A Requesting Data...1013972601</v>
        <stp/>
        <stp>BDP|18114581877391454989</stp>
        <tr r="D11" s="4"/>
      </tp>
      <tp t="s">
        <v>#N/A N/A</v>
        <stp/>
        <stp>BDP|15608714602308232856</stp>
        <tr r="T55" s="14"/>
      </tp>
      <tp t="s">
        <v>#N/A Requesting Data...1164828064</v>
        <stp/>
        <stp>BDP|15143447314045320703</stp>
        <tr r="AN55" s="14"/>
      </tp>
      <tp t="s">
        <v>#N/A Requesting Data...3993097547</v>
        <stp/>
        <stp>BDP|11136665200984372169</stp>
        <tr r="AB13" s="14"/>
        <tr r="AB13" s="14"/>
      </tp>
      <tp t="s">
        <v>#N/A Requesting Data...1199239557</v>
        <stp/>
        <stp>BDP|17483058377563671123</stp>
        <tr r="I72" s="14"/>
        <tr r="I72" s="14"/>
      </tp>
      <tp t="s">
        <v>#N/A N/A</v>
        <stp/>
        <stp>BDP|14524213673977175449</stp>
        <tr r="X15" s="4"/>
      </tp>
      <tp t="s">
        <v>#N/A Requesting Data...1858647364</v>
        <stp/>
        <stp>BDP|16215602433183032234</stp>
        <tr r="G33" s="16"/>
      </tp>
      <tp t="s">
        <v>#N/A Requesting Data...2876840896</v>
        <stp/>
        <stp>BDP|14516655803365721561</stp>
        <tr r="AK64" s="14"/>
      </tp>
      <tp t="s">
        <v>#N/A Requesting Data...2993350993</v>
        <stp/>
        <stp>BDP|16934795974013134771</stp>
        <tr r="D66" s="16"/>
        <tr r="E68" s="14"/>
      </tp>
      <tp t="s">
        <v>#N/A Requesting Data...2375674607</v>
        <stp/>
        <stp>BDP|15471466733830244019</stp>
        <tr r="AK42" s="14"/>
      </tp>
      <tp t="s">
        <v>#N/A Requesting Data...3615937696</v>
        <stp/>
        <stp>BDP|11387826874824862888</stp>
        <tr r="AL103" s="14"/>
      </tp>
      <tp t="s">
        <v>#N/A Requesting Data...908046668</v>
        <stp/>
        <stp>BDP|11504609272155106737</stp>
        <tr r="AB22" s="14"/>
        <tr r="AB22" s="14"/>
      </tp>
      <tp t="s">
        <v>#N/A N/A</v>
        <stp/>
        <stp>BDP|13411279172261121557</stp>
        <tr r="AH108" s="14"/>
      </tp>
      <tp t="s">
        <v>#N/A Requesting Data...4287666525</v>
        <stp/>
        <stp>BDP|10220151863166945388</stp>
        <tr r="AD47" s="14"/>
      </tp>
      <tp t="s">
        <v>#N/A Requesting Data...3313449013</v>
        <stp/>
        <stp>BDP|15417962997441592652</stp>
        <tr r="AO38" s="14"/>
        <tr r="AO38" s="14"/>
      </tp>
      <tp t="s">
        <v>#N/A Requesting Data...2112434195</v>
        <stp/>
        <stp>BDP|13548242553216718009</stp>
        <tr r="AN88" s="14"/>
      </tp>
      <tp t="s">
        <v>#N/A Requesting Data...1965132337</v>
        <stp/>
        <stp>BDP|11924078429580309113</stp>
        <tr r="AO108" s="14"/>
        <tr r="AO108" s="14"/>
      </tp>
      <tp t="s">
        <v>#N/A Requesting Data...960178661</v>
        <stp/>
        <stp>BDP|15682573726422742258</stp>
        <tr r="C57" s="14"/>
      </tp>
      <tp t="s">
        <v>#N/A Requesting Data...1488264162</v>
        <stp/>
        <stp>BDP|17039823190297387349</stp>
        <tr r="AD28" s="14"/>
      </tp>
      <tp t="s">
        <v>#N/A N/A</v>
        <stp/>
        <stp>BDP|14445992237935684992</stp>
        <tr r="J83" s="14"/>
        <tr r="J83" s="14"/>
      </tp>
      <tp t="s">
        <v>#N/A Requesting Data...2032297748</v>
        <stp/>
        <stp>BDP|13503832745769529433</stp>
        <tr r="AP88" s="14"/>
      </tp>
      <tp t="s">
        <v>#N/A Requesting Data...1165538621</v>
        <stp/>
        <stp>BDP|11256310704958511879</stp>
        <tr r="G50" s="16"/>
      </tp>
      <tp t="s">
        <v>#N/A Requesting Data...4223878594</v>
        <stp/>
        <stp>BDP|12470175316951305120</stp>
        <tr r="K15" s="1"/>
      </tp>
      <tp t="s">
        <v>#N/A Requesting Data...1718519229</v>
        <stp/>
        <stp>BDP|12026608867739026935</stp>
        <tr r="G57" s="16"/>
      </tp>
      <tp t="s">
        <v>#N/A Requesting Data...2914734094</v>
        <stp/>
        <stp>BDP|14170081677839929835</stp>
        <tr r="AH13" s="14"/>
      </tp>
      <tp t="s">
        <v>#N/A N/A</v>
        <stp/>
        <stp>BDP|14389839802766097860</stp>
        <tr r="AH59" s="14"/>
        <tr r="AH59" s="14"/>
      </tp>
      <tp t="s">
        <v>#N/A Requesting Data...3445408846</v>
        <stp/>
        <stp>BDP|15716799235897743489</stp>
        <tr r="AH50" s="14"/>
      </tp>
      <tp t="s">
        <v>#N/A Requesting Data...1169511258</v>
        <stp/>
        <stp>BDP|16654623676821439421</stp>
        <tr r="H105" s="14"/>
      </tp>
      <tp t="s">
        <v>#N/A N/A</v>
        <stp/>
        <stp>BDP|14424211032540404775</stp>
        <tr r="K101" s="16"/>
        <tr r="K102" s="16"/>
        <tr r="K103" s="16"/>
        <tr r="K105" s="16"/>
      </tp>
      <tp t="s">
        <v>#N/A Requesting Data...3802740204</v>
        <stp/>
        <stp>BDP|12841479431122960538</stp>
        <tr r="AO96" s="14"/>
        <tr r="AO96" s="14"/>
      </tp>
      <tp t="s">
        <v>#N/A N/A</v>
        <stp/>
        <stp>BDP|15148715951445204074</stp>
        <tr r="K15" s="16"/>
        <tr r="K44" s="16"/>
        <tr r="K47" s="16"/>
      </tp>
      <tp t="s">
        <v>#N/A Requesting Data...3479138286</v>
        <stp/>
        <stp>BDP|15299098318606506018</stp>
        <tr r="AU81" s="14"/>
      </tp>
      <tp t="s">
        <v>#N/A N/A</v>
        <stp/>
        <stp>BDP|17436099059055609556</stp>
        <tr r="T107" s="14"/>
        <tr r="T107" s="14"/>
      </tp>
      <tp t="s">
        <v>#N/A Requesting Data...2734204542</v>
        <stp/>
        <stp>BDP|13796718434327091257</stp>
        <tr r="AF88" s="14"/>
      </tp>
      <tp t="s">
        <v>#N/A Requesting Data...1287950478</v>
        <stp/>
        <stp>BDP|18016677503968767445</stp>
        <tr r="AF28" s="14"/>
      </tp>
      <tp t="s">
        <v>#N/A Requesting Data...1494464509</v>
        <stp/>
        <stp>BDP|11325896798025551702</stp>
        <tr r="AP102" s="14"/>
      </tp>
      <tp t="s">
        <v>#N/A Requesting Data...1129764269</v>
        <stp/>
        <stp>BDP|15481454507051667278</stp>
        <tr r="E14" s="16"/>
      </tp>
      <tp t="s">
        <v>#N/A N/A</v>
        <stp/>
        <stp>BDP|14583801703997732962</stp>
        <tr r="V12" s="6"/>
      </tp>
      <tp t="s">
        <v>#N/A Requesting Data...2852605888</v>
        <stp/>
        <stp>BDP|15850797533392620134</stp>
        <tr r="C54" s="14"/>
      </tp>
      <tp t="s">
        <v>#N/A Requesting Data...4292692228</v>
        <stp/>
        <stp>BDP|10646956410993295965</stp>
        <tr r="C108" s="14"/>
      </tp>
      <tp t="s">
        <v>#N/A N/A</v>
        <stp/>
        <stp>BDP|16094795540154986371</stp>
        <tr r="I12" s="7"/>
      </tp>
      <tp t="s">
        <v>#N/A N/A</v>
        <stp/>
        <stp>BDP|10752848064545869997</stp>
        <tr r="G17" s="6"/>
      </tp>
      <tp t="s">
        <v>#N/A Requesting Data...975125758</v>
        <stp/>
        <stp>BDP|12074116571893522532</stp>
        <tr r="I79" s="14"/>
        <tr r="I79" s="14"/>
      </tp>
      <tp t="s">
        <v>#N/A N/A</v>
        <stp/>
        <stp>BDP|15887878309446280920</stp>
        <tr r="V23" s="6"/>
      </tp>
      <tp t="s">
        <v>#N/A N/A</v>
        <stp/>
        <stp>BDP|11323925481802048068</stp>
        <tr r="S12" s="1"/>
      </tp>
      <tp t="s">
        <v>#N/A N/A</v>
        <stp/>
        <stp>BDH|13539558602681298504</stp>
        <tr r="Y19" s="6"/>
      </tp>
      <tp t="s">
        <v>#N/A N/A</v>
        <stp/>
        <stp>BDH|17942195737997526002</stp>
        <tr r="X18" s="6"/>
      </tp>
      <tp t="s">
        <v>#N/A N/A</v>
        <stp/>
        <stp>BDH|10735090039612381362</stp>
        <tr r="AI93" s="14"/>
      </tp>
      <tp t="s">
        <v>#N/A N/A</v>
        <stp/>
        <stp>BADDPERIODS|14545880816738494304</stp>
        <tr r="M19" s="7"/>
        <tr r="M19" s="7"/>
        <tr r="M19" s="7"/>
        <tr r="M23" s="7"/>
        <tr r="M23" s="7"/>
        <tr r="M23" s="7"/>
      </tp>
      <tp t="s">
        <v>#N/A N/A</v>
        <stp/>
        <stp>BADDPERIODS|11257141293949220689</stp>
        <tr r="AH33" s="14"/>
      </tp>
      <tp t="s">
        <v>#N/A N/A</v>
        <stp/>
        <stp>BDH|15112506916002493163</stp>
        <tr r="AI43" s="14"/>
      </tp>
      <tp t="s">
        <v>#N/A N/A</v>
        <stp/>
        <stp>BADDPERIODS|12122772239804510437</stp>
        <tr r="AH38" s="14"/>
      </tp>
      <tp t="s">
        <v>#N/A N/A</v>
        <stp/>
        <stp>BDH|15097445614036915413</stp>
        <tr r="AO16" s="1"/>
      </tp>
      <tp t="s">
        <v>#N/A N/A</v>
        <stp/>
        <stp>BDH|13667083068267597081</stp>
        <tr r="AN23" s="1"/>
      </tp>
      <tp t="s">
        <v>#N/A N/A</v>
        <stp/>
        <stp>BDH|16755331294708289680</stp>
        <tr r="AE84" s="14"/>
      </tp>
      <tp t="s">
        <v>#N/A N/A</v>
        <stp/>
        <stp>BDH|13787683184779101603</stp>
        <tr r="AE98" s="14"/>
      </tp>
      <tp t="s">
        <v>#N/A N/A</v>
        <stp/>
        <stp>BDH|14330771155054979028</stp>
        <tr r="AE76" s="14"/>
      </tp>
      <tp t="s">
        <v>#N/A N/A</v>
        <stp/>
        <stp>BDH|16174184366221509262</stp>
        <tr r="W22" s="7"/>
      </tp>
      <tp t="s">
        <v>#N/A N/A</v>
        <stp/>
        <stp>BDH|14856232218091871471</stp>
        <tr r="AI101" s="14"/>
      </tp>
      <tp t="s">
        <v>#N/A N/A</v>
        <stp/>
        <stp>BDH|14511692955306673333</stp>
        <tr r="AI11" s="14"/>
      </tp>
      <tp t="s">
        <v>#N/A N/A</v>
        <stp/>
        <stp>BDH|14402990292271430748</stp>
        <tr r="AI34" s="14"/>
        <tr r="AI24" s="14"/>
        <tr r="AI32" s="14"/>
        <tr r="AI25" s="14"/>
        <tr r="AI29" s="14"/>
        <tr r="AI31" s="14"/>
        <tr r="AI30" s="14"/>
        <tr r="AI35" s="14"/>
      </tp>
    </main>
    <main first="bofaddin.rtdserver">
      <tp t="s">
        <v>#N/A N/A</v>
        <stp/>
        <stp>BDP|10927494929774294125</stp>
        <tr r="I23" s="1"/>
      </tp>
      <tp t="s">
        <v>#N/A Requesting Data...1595646582</v>
        <stp/>
        <stp>BDP|17133607244487544194</stp>
        <tr r="H88" s="16"/>
        <tr r="H88" s="16"/>
        <tr r="F90" s="14"/>
        <tr r="F90" s="14"/>
        <tr r="H89" s="16"/>
        <tr r="H89" s="16"/>
        <tr r="F91" s="14"/>
        <tr r="F91" s="14"/>
      </tp>
      <tp t="s">
        <v>#N/A Requesting Data...852516868</v>
        <stp/>
        <stp>BDP|17633777626766941770</stp>
        <tr r="C92" s="16"/>
        <tr r="D94" s="14"/>
      </tp>
      <tp t="s">
        <v>#N/A Requesting Data...1863222411</v>
        <stp/>
        <stp>BDP|11665778745369526890</stp>
        <tr r="AE47" s="14"/>
      </tp>
      <tp t="s">
        <v>#N/A N/A</v>
        <stp/>
        <stp>BDP|12227161970430501799</stp>
        <tr r="J16" s="14"/>
      </tp>
      <tp t="s">
        <v>#N/A N/A</v>
        <stp/>
        <stp>BDP|16169119355660940140</stp>
        <tr r="T61" s="14"/>
        <tr r="T61" s="14"/>
      </tp>
      <tp t="s">
        <v>#N/A Requesting Data...1196868069</v>
        <stp/>
        <stp>BDP|14880376111157416222</stp>
        <tr r="I36" s="14"/>
        <tr r="I36" s="14"/>
      </tp>
      <tp t="s">
        <v>#N/A Requesting Data...2137088789</v>
        <stp/>
        <stp>BDP|10753916480167862567</stp>
        <tr r="H33" s="16"/>
        <tr r="H33" s="16"/>
        <tr r="F35" s="14"/>
        <tr r="F35" s="14"/>
      </tp>
      <tp t="s">
        <v>#N/A Requesting Data...880282522</v>
        <stp/>
        <stp>BDP|18089537161870855823</stp>
        <tr r="AP105" s="14"/>
      </tp>
      <tp t="s">
        <v>#N/A Requesting Data...3434632535</v>
        <stp/>
        <stp>BDP|17044140052425835563</stp>
        <tr r="AD37" s="14"/>
      </tp>
      <tp t="s">
        <v>#N/A N/A</v>
        <stp/>
        <stp>BDP|11926001752801503652</stp>
        <tr r="I11" s="6"/>
      </tp>
      <tp t="s">
        <v>#N/A Requesting Data...3607443473</v>
        <stp/>
        <stp>BDP|17505409338342571133</stp>
        <tr r="I22" s="1"/>
      </tp>
      <tp t="s">
        <v>#N/A N/A</v>
        <stp/>
        <stp>BDP|10535228205129932805</stp>
        <tr r="K37" s="16"/>
        <tr r="K45" s="16"/>
      </tp>
      <tp t="s">
        <v>#N/A Requesting Data...3262947243</v>
        <stp/>
        <stp>BDP|14701732765082921433</stp>
        <tr r="C72" s="14"/>
      </tp>
      <tp t="s">
        <v>#N/A N/A</v>
        <stp/>
        <stp>BDP|14107367868497218562</stp>
        <tr r="AJ17" s="1"/>
      </tp>
      <tp t="s">
        <v>#N/A Requesting Data...3139774460</v>
        <stp/>
        <stp>BDP|15222211725525901346</stp>
        <tr r="F26" s="16"/>
      </tp>
      <tp t="s">
        <v>#N/A Requesting Data...1649762476</v>
        <stp/>
        <stp>BDP|17217062458409690818</stp>
        <tr r="F11" s="4"/>
      </tp>
      <tp t="s">
        <v>#N/A N/A</v>
        <stp/>
        <stp>BDP|15437493507795420751</stp>
        <tr r="H13" s="4"/>
      </tp>
      <tp t="s">
        <v>#N/A Requesting Data...3319492625</v>
        <stp/>
        <stp>BDP|11453493568844731484</stp>
        <tr r="K95" s="14"/>
      </tp>
      <tp t="s">
        <v>#N/A Requesting Data...3706386703</v>
        <stp/>
        <stp>BDP|10071828225391975844</stp>
        <tr r="H18" s="14"/>
      </tp>
      <tp t="s">
        <v>#N/A N/A</v>
        <stp/>
        <stp>BDP|14823117667958479804</stp>
        <tr r="I17" s="7"/>
      </tp>
      <tp t="s">
        <v>#N/A N/A</v>
        <stp/>
        <stp>BDP|17562220079996191758</stp>
        <tr r="F18" s="6"/>
      </tp>
      <tp t="s">
        <v>#N/A Requesting Data...4124104676</v>
        <stp/>
        <stp>BDP|10348793355901773024</stp>
        <tr r="C40" s="14"/>
      </tp>
      <tp t="s">
        <v>#N/A Requesting Data...3921749383</v>
        <stp/>
        <stp>BDP|18129988002607643575</stp>
        <tr r="F93" s="16"/>
      </tp>
      <tp t="s">
        <v>#N/A Requesting Data...4048057875</v>
        <stp/>
        <stp>BDP|15595628539544334774</stp>
        <tr r="AF22" s="14"/>
      </tp>
      <tp t="s">
        <v>#N/A Requesting Data...2757112992</v>
        <stp/>
        <stp>BDP|17914971770499212365</stp>
        <tr r="K41" s="14"/>
      </tp>
      <tp t="s">
        <v>#N/A Requesting Data...3079234133</v>
        <stp/>
        <stp>BDP|14895203962773233029</stp>
        <tr r="AK31" s="14"/>
      </tp>
      <tp t="s">
        <v>#N/A Requesting Data...2330266256</v>
        <stp/>
        <stp>BDP|17947855211104304945</stp>
        <tr r="AU34" s="14"/>
      </tp>
      <tp t="s">
        <v>#N/A N/A</v>
        <stp/>
        <stp>BDP|17823073720624010252</stp>
        <tr r="U24" s="6"/>
      </tp>
      <tp t="s">
        <v>#N/A Requesting Data...2116637680</v>
        <stp/>
        <stp>BDP|10289512515034304383</stp>
        <tr r="AT29" s="14"/>
      </tp>
      <tp t="s">
        <v>#N/A N/A</v>
        <stp/>
        <stp>BDP|17953072362791244337</stp>
        <tr r="F19" s="6"/>
      </tp>
      <tp t="s">
        <v>#N/A N/A</v>
        <stp/>
        <stp>BDP|17254231812003765491</stp>
        <tr r="M12" s="1"/>
      </tp>
      <tp t="s">
        <v>#N/A N/A</v>
        <stp/>
        <stp>BDS|15533288859911898029</stp>
        <tr r="AI38" s="14"/>
        <tr r="AI38" s="14"/>
        <tr r="AI39" s="14"/>
        <tr r="AI39" s="14"/>
        <tr r="AI47" s="14"/>
        <tr r="AI47" s="14"/>
        <tr r="AI45" s="14"/>
        <tr r="AI45" s="14"/>
      </tp>
      <tp t="s">
        <v>#N/A N/A</v>
        <stp/>
        <stp>BDP|10133627938206712017</stp>
        <tr r="I15" s="7"/>
      </tp>
      <tp t="s">
        <v>#N/A Requesting Data...2024017196</v>
        <stp/>
        <stp>BDP|13114027040940983470</stp>
        <tr r="AN31" s="14"/>
      </tp>
      <tp t="s">
        <v>#N/A N/A</v>
        <stp/>
        <stp>BDP|11533032863701130593</stp>
        <tr r="L33" s="16"/>
        <tr r="L64" s="16"/>
        <tr r="L29" s="16"/>
        <tr r="L68" s="16"/>
        <tr r="L69" s="16"/>
        <tr r="L32" s="16"/>
      </tp>
      <tp t="s">
        <v>#N/A N/A</v>
        <stp/>
        <stp>BDP|11038299945586840282</stp>
        <tr r="F17" s="6"/>
      </tp>
      <tp t="s">
        <v>#N/A Requesting Data...1553970490</v>
        <stp/>
        <stp>BDP|13725585473402033009</stp>
        <tr r="AF46" s="14"/>
      </tp>
      <tp t="s">
        <v>#N/A Requesting Data...2537912743</v>
        <stp/>
        <stp>BDP|13299397541636571131</stp>
        <tr r="AR94" s="14"/>
      </tp>
      <tp t="s">
        <v>#N/A Requesting Data...1891086979</v>
        <stp/>
        <stp>BDP|13100659950930195395</stp>
        <tr r="E33" s="16"/>
      </tp>
      <tp t="s">
        <v>#N/A N/A</v>
        <stp/>
        <stp>BDS|13255009063434938277</stp>
        <tr r="AI92" s="14"/>
        <tr r="AI92" s="14"/>
      </tp>
      <tp t="s">
        <v>#N/A N/A</v>
        <stp/>
        <stp>BDP|11928537965732152324</stp>
        <tr r="V22" s="6"/>
      </tp>
      <tp t="s">
        <v>#N/A Requesting Data...2530537705</v>
        <stp/>
        <stp>BDP|12910686802741769681</stp>
        <tr r="AO73" s="14"/>
        <tr r="AO73" s="14"/>
      </tp>
      <tp t="s">
        <v>#N/A Requesting Data...1844166674</v>
        <stp/>
        <stp>BDP|16083919484154062091</stp>
        <tr r="AK107" s="14"/>
      </tp>
      <tp t="s">
        <v>#N/A Requesting Data...3871964519</v>
        <stp/>
        <stp>BDP|10607426561097194689</stp>
        <tr r="AL27" s="14"/>
      </tp>
      <tp t="s">
        <v>#N/A Requesting Data...2328589338</v>
        <stp/>
        <stp>BDP|13976031214071577077</stp>
        <tr r="AF108" s="14"/>
      </tp>
      <tp t="s">
        <v>#N/A Requesting Data...4239127905</v>
        <stp/>
        <stp>BDP|13295053378300388705</stp>
        <tr r="AO82" s="14"/>
        <tr r="AO82" s="14"/>
      </tp>
      <tp t="s">
        <v>#N/A Requesting Data...2304834849</v>
        <stp/>
        <stp>BDP|12838520434792179508</stp>
        <tr r="K110" s="14"/>
      </tp>
      <tp t="s">
        <v>#N/A Requesting Data...1613104904</v>
        <stp/>
        <stp>BDP|18070883319973623184</stp>
        <tr r="AR39" s="14"/>
      </tp>
      <tp t="s">
        <v>#N/A Requesting Data...3867471471</v>
        <stp/>
        <stp>BDP|15284647991439139091</stp>
        <tr r="V109" s="14"/>
      </tp>
      <tp t="s">
        <v>#N/A N/A</v>
        <stp/>
        <stp>BDP|15123988130409430525</stp>
        <tr r="D21" s="7"/>
      </tp>
      <tp t="s">
        <v>#N/A Requesting Data...2784373091</v>
        <stp/>
        <stp>BDP|11026317848875747016</stp>
        <tr r="H98" s="16"/>
        <tr r="H98" s="16"/>
        <tr r="F100" s="14"/>
        <tr r="F100" s="14"/>
      </tp>
      <tp t="s">
        <v>#N/A Requesting Data...4231212349</v>
        <stp/>
        <stp>BDP|13616578628903385456</stp>
        <tr r="F12" s="14"/>
        <tr r="F12" s="14"/>
        <tr r="H10" s="16"/>
        <tr r="H10" s="16"/>
      </tp>
      <tp t="s">
        <v>#N/A Requesting Data...3111899477</v>
        <stp/>
        <stp>BDP|14383211978174033657</stp>
        <tr r="AB56" s="14"/>
        <tr r="AB56" s="14"/>
      </tp>
      <tp t="s">
        <v>#N/A Requesting Data...1987021833</v>
        <stp/>
        <stp>BDP|14955926696744796351</stp>
        <tr r="V92" s="14"/>
      </tp>
      <tp t="s">
        <v>#N/A Requesting Data...2329172182</v>
        <stp/>
        <stp>BDP|10615172671451938466</stp>
        <tr r="AF59" s="14"/>
      </tp>
      <tp t="s">
        <v>#N/A Requesting Data...2701400739</v>
        <stp/>
        <stp>BDP|13000121706769918820</stp>
        <tr r="AL81" s="14"/>
      </tp>
      <tp t="s">
        <v>#N/A Requesting Data...3780868694</v>
        <stp/>
        <stp>BDP|18123960559742345526</stp>
        <tr r="C61" s="14"/>
      </tp>
      <tp t="s">
        <v>#N/A Requesting Data...4212310308</v>
        <stp/>
        <stp>BDP|17336432672370467790</stp>
        <tr r="AM60" s="14"/>
      </tp>
      <tp t="s">
        <v>#N/A Requesting Data...4156717874</v>
        <stp/>
        <stp>BDP|16015180428551895762</stp>
        <tr r="AO109" s="14"/>
        <tr r="AO109" s="14"/>
      </tp>
      <tp t="s">
        <v>#N/A N/A</v>
        <stp/>
        <stp>BDP|15866643929254291690</stp>
        <tr r="AC20" s="1"/>
      </tp>
      <tp t="s">
        <v>#N/A Requesting Data...3598344585</v>
        <stp/>
        <stp>BDP|17470580519351981121</stp>
        <tr r="AE105" s="14"/>
      </tp>
      <tp t="s">
        <v>#N/A N/A</v>
        <stp/>
        <stp>BDP|17502755044024248382</stp>
        <tr r="S11" s="1"/>
      </tp>
      <tp t="s">
        <v>#N/A N/A</v>
        <stp/>
        <stp>BDP|14803758923004785677</stp>
        <tr r="I81" s="16"/>
        <tr r="I92" s="16"/>
        <tr r="I93" s="16"/>
      </tp>
      <tp t="s">
        <v>#N/A Requesting Data...2516744098</v>
        <stp/>
        <stp>BDP|15360497822315270542</stp>
        <tr r="AF26" s="14"/>
      </tp>
      <tp t="s">
        <v>#N/A Requesting Data...4182755016</v>
        <stp/>
        <stp>BDP|12004443661012716139</stp>
        <tr r="H14" s="14"/>
      </tp>
      <tp t="s">
        <v>#N/A Requesting Data...4006782712</v>
        <stp/>
        <stp>BDP|15695665147267328355</stp>
        <tr r="G66" s="14"/>
      </tp>
      <tp t="s">
        <v>#N/A Requesting Data...2902278993</v>
        <stp/>
        <stp>BDP|11889998817843792908</stp>
        <tr r="E105" s="14"/>
        <tr r="D103" s="16"/>
      </tp>
      <tp t="s">
        <v>#N/A Requesting Data...2713618793</v>
        <stp/>
        <stp>BDP|16807389516043741404</stp>
        <tr r="AL65" s="14"/>
      </tp>
      <tp t="s">
        <v>#N/A Requesting Data...3561149447</v>
        <stp/>
        <stp>BDP|17378450911716384756</stp>
        <tr r="AL18" s="14"/>
      </tp>
      <tp t="s">
        <v>#N/A Requesting Data...2276314721</v>
        <stp/>
        <stp>BDP|13212716607542290577</stp>
        <tr r="AP39" s="14"/>
      </tp>
      <tp t="s">
        <v>#N/A N/A</v>
        <stp/>
        <stp>BDP|13594047030366392537</stp>
        <tr r="J107" s="16"/>
        <tr r="J104" s="16"/>
      </tp>
      <tp t="s">
        <v>#N/A Requesting Data...3132598640</v>
        <stp/>
        <stp>BDP|14474766333644361733</stp>
        <tr r="AN67" s="14"/>
      </tp>
      <tp t="s">
        <v>#N/A Requesting Data...1313254396</v>
        <stp/>
        <stp>BDP|16535263622966882380</stp>
        <tr r="E90" s="16"/>
      </tp>
      <tp t="s">
        <v>#N/A N/A</v>
        <stp/>
        <stp>BDP|10521926057198119705</stp>
        <tr r="S24" s="6"/>
      </tp>
      <tp t="s">
        <v>#N/A Requesting Data...1736102465</v>
        <stp/>
        <stp>BDP|12874698223370546568</stp>
        <tr r="AR85" s="14"/>
      </tp>
      <tp t="s">
        <v>#N/A Requesting Data...1005764814</v>
        <stp/>
        <stp>BDP|13033334651575339307</stp>
        <tr r="C52" s="14"/>
      </tp>
      <tp t="s">
        <v>#N/A Requesting Data...1084021053</v>
        <stp/>
        <stp>BDP|12353292570814397083</stp>
        <tr r="E53" s="16"/>
      </tp>
      <tp t="s">
        <v>#N/A N/A</v>
        <stp/>
        <stp>BDP|11698752346388588914</stp>
        <tr r="S23" s="6"/>
      </tp>
      <tp t="s">
        <v>#N/A N/A</v>
        <stp/>
        <stp>BDS|18355429954628222247</stp>
        <tr r="AI101" s="14"/>
        <tr r="AI101" s="14"/>
      </tp>
      <tp t="s">
        <v>#N/A Requesting Data...2388028076</v>
        <stp/>
        <stp>BDP|10425976794293426037</stp>
        <tr r="C97" s="12"/>
      </tp>
      <tp t="s">
        <v>#N/A Requesting Data...1531315473</v>
        <stp/>
        <stp>BDP|14265571757903285405</stp>
        <tr r="V97" s="14"/>
      </tp>
      <tp t="s">
        <v>#N/A N/A</v>
        <stp/>
        <stp>BDP|13503818681676491614</stp>
        <tr r="K42" s="16"/>
      </tp>
      <tp t="s">
        <v>#N/A Requesting Data...1543866354</v>
        <stp/>
        <stp>BDP|16507731954382474566</stp>
        <tr r="D57" s="12"/>
      </tp>
      <tp t="s">
        <v>#N/A Requesting Data...3298805516</v>
        <stp/>
        <stp>BDP|17057652713331261240</stp>
        <tr r="AT97" s="14"/>
      </tp>
      <tp t="s">
        <v>#N/A N/A</v>
        <stp/>
        <stp>BDP|15794323268944967745</stp>
        <tr r="T63" s="14"/>
        <tr r="T63" s="14"/>
      </tp>
      <tp t="s">
        <v>#N/A Requesting Data...3853847305</v>
        <stp/>
        <stp>BDP|11277619417083202668</stp>
        <tr r="H64" s="14"/>
      </tp>
      <tp t="s">
        <v>#N/A N/A</v>
        <stp/>
        <stp>BDP|16513194779640279370</stp>
        <tr r="L76" s="16"/>
      </tp>
      <tp t="s">
        <v>#N/A Requesting Data...4136886787</v>
        <stp/>
        <stp>BDP|17441961517015726918</stp>
        <tr r="AS31" s="14"/>
      </tp>
      <tp t="s">
        <v>#N/A Requesting Data...3835431058</v>
        <stp/>
        <stp>BDP|12186205421589147822</stp>
        <tr r="D61" s="12"/>
      </tp>
      <tp t="s">
        <v>#N/A Requesting Data...4162277532</v>
        <stp/>
        <stp>BDP|11698175440841498663</stp>
        <tr r="AU59" s="14"/>
      </tp>
      <tp t="s">
        <v>#N/A N/A</v>
        <stp/>
        <stp>BDP|16193304505013208551</stp>
        <tr r="D23" s="1"/>
      </tp>
      <tp t="s">
        <v>#N/A Requesting Data...3780793902</v>
        <stp/>
        <stp>BDP|15329633467282284467</stp>
        <tr r="G92" s="14"/>
      </tp>
      <tp t="s">
        <v>#N/A Requesting Data...3685524078</v>
        <stp/>
        <stp>BDP|14780298715794009084</stp>
        <tr r="AU21" s="14"/>
      </tp>
      <tp t="s">
        <v>#N/A Requesting Data...2575338561</v>
        <stp/>
        <stp>BDP|13292669674991496075</stp>
        <tr r="AQ35" s="14"/>
      </tp>
      <tp t="s">
        <v>#N/A Requesting Data...3259019168</v>
        <stp/>
        <stp>BDP|11398419041401599346</stp>
        <tr r="D72" s="16"/>
        <tr r="E74" s="14"/>
      </tp>
      <tp t="s">
        <v>#N/A Requesting Data...4184317434</v>
        <stp/>
        <stp>BDP|10353193469706099212</stp>
        <tr r="AD100" s="14"/>
      </tp>
      <tp t="s">
        <v>#N/A Requesting Data...4289994227</v>
        <stp/>
        <stp>BDP|13523428171905282665</stp>
        <tr r="AD89" s="14"/>
      </tp>
      <tp t="s">
        <v>#N/A Requesting Data...3075975755</v>
        <stp/>
        <stp>BDP|15876133039886551255</stp>
        <tr r="AP72" s="14"/>
      </tp>
      <tp t="s">
        <v>#N/A N/A</v>
        <stp/>
        <stp>BDP|17789659246020550637</stp>
        <tr r="J101" s="14"/>
        <tr r="J101" s="14"/>
      </tp>
      <tp t="s">
        <v>#N/A N/A</v>
        <stp/>
        <stp>BDP|16275922972392054900</stp>
        <tr r="T45" s="14"/>
        <tr r="T45" s="14"/>
      </tp>
      <tp t="s">
        <v>#N/A N/A</v>
        <stp/>
        <stp>BDP|16826622650296052087</stp>
        <tr r="J24" s="14"/>
        <tr r="J24" s="14"/>
      </tp>
      <tp t="s">
        <v>#N/A Requesting Data...2048445243</v>
        <stp/>
        <stp>BDP|17072540467353839497</stp>
        <tr r="I53" s="14"/>
        <tr r="I53" s="14"/>
      </tp>
      <tp t="s">
        <v>#N/A Requesting Data...1349238921</v>
        <stp/>
        <stp>BDP|13016161796759210101</stp>
        <tr r="AR80" s="14"/>
      </tp>
      <tp t="s">
        <v>#N/A Requesting Data...3038494620</v>
        <stp/>
        <stp>BDP|18364985689672074805</stp>
        <tr r="H92" s="14"/>
      </tp>
      <tp t="s">
        <v>#N/A Requesting Data...2770053640</v>
        <stp/>
        <stp>BDP|15677477126039736924</stp>
        <tr r="AE30" s="14"/>
      </tp>
      <tp t="s">
        <v>#N/A Requesting Data...2335914713</v>
        <stp/>
        <stp>BDP|12311094209100331120</stp>
        <tr r="AP94" s="14"/>
      </tp>
      <tp t="s">
        <v>#N/A Requesting Data...1759271698</v>
        <stp/>
        <stp>BDP|10605131954281058633</stp>
        <tr r="D87" s="16"/>
        <tr r="E89" s="14"/>
      </tp>
      <tp t="s">
        <v>#N/A Requesting Data...3962255441</v>
        <stp/>
        <stp>BDP|14500674610249521951</stp>
        <tr r="D58" s="14"/>
        <tr r="C56" s="16"/>
      </tp>
      <tp t="s">
        <v>#N/A Requesting Data...2731520933</v>
        <stp/>
        <stp>BDP|11186213569926813048</stp>
        <tr r="AL47" s="14"/>
      </tp>
      <tp t="s">
        <v>#N/A N/A</v>
        <stp/>
        <stp>BDP|11290622834754523344</stp>
        <tr r="T26" s="6"/>
      </tp>
      <tp t="s">
        <v>#N/A Requesting Data...3416204176</v>
        <stp/>
        <stp>BDP|12936919941119494588</stp>
        <tr r="AM15" s="14"/>
      </tp>
      <tp t="s">
        <v>#N/A N/A</v>
        <stp/>
        <stp>BDP|16179774543933174514</stp>
        <tr r="T22" s="6"/>
      </tp>
      <tp t="s">
        <v>#N/A Requesting Data...2353694656</v>
        <stp/>
        <stp>BDP|13895894786059107934</stp>
        <tr r="H24" s="14"/>
      </tp>
      <tp t="s">
        <v>#N/A Requesting Data...2560892156</v>
        <stp/>
        <stp>BDP|14935656318931166103</stp>
        <tr r="E69" s="16"/>
      </tp>
      <tp t="s">
        <v>#N/A Requesting Data...2658158667</v>
        <stp/>
        <stp>BDP|14640003440562798149</stp>
        <tr r="AS35" s="14"/>
      </tp>
      <tp t="s">
        <v>#N/A N/A</v>
        <stp/>
        <stp>BDP|13659124959165037183</stp>
        <tr r="E25" s="7"/>
      </tp>
      <tp t="s">
        <v>#N/A N/A</v>
        <stp/>
        <stp>BDS|10693734106984471014</stp>
        <tr r="AI108" s="14"/>
        <tr r="AI108" s="14"/>
      </tp>
      <tp t="s">
        <v>#N/A Requesting Data...1901133831</v>
        <stp/>
        <stp>BDP|16499274706493187416</stp>
        <tr r="C18" s="16"/>
        <tr r="D20" s="14"/>
      </tp>
      <tp t="s">
        <v>#N/A N/A</v>
        <stp/>
        <stp>BDP|14215028109965544292</stp>
        <tr r="P17" s="7"/>
      </tp>
      <tp t="s">
        <v>#N/A Requesting Data...1578051725</v>
        <stp/>
        <stp>BDP|16462554003491436130</stp>
        <tr r="I18" s="14"/>
        <tr r="I18" s="14"/>
      </tp>
      <tp t="s">
        <v>#N/A Requesting Data...2413572522</v>
        <stp/>
        <stp>BDP|13918472439002700556</stp>
        <tr r="C30" s="16"/>
        <tr r="D32" s="14"/>
      </tp>
      <tp t="s">
        <v>#N/A N/A</v>
        <stp/>
        <stp>BDP|10033285169331545614</stp>
        <tr r="D18" s="7"/>
      </tp>
      <tp t="s">
        <v>#N/A Requesting Data...3441556601</v>
        <stp/>
        <stp>BDP|16685082911540232495</stp>
        <tr r="V44" s="14"/>
      </tp>
      <tp t="s">
        <v>#N/A Requesting Data...1647649376</v>
        <stp/>
        <stp>BDP|10002336003947594719</stp>
        <tr r="AP71" s="14"/>
      </tp>
      <tp t="s">
        <v>#N/A Requesting Data...1052493781</v>
        <stp/>
        <stp>BDP|18266735387875353113</stp>
        <tr r="AB94" s="14"/>
        <tr r="AB94" s="14"/>
      </tp>
      <tp t="s">
        <v>#N/A N/A</v>
        <stp/>
        <stp>BDP|11457044811626155541</stp>
        <tr r="M17" s="1"/>
      </tp>
      <tp t="s">
        <v>#N/A Requesting Data...2899212748</v>
        <stp/>
        <stp>BDP|14554293952275973532</stp>
        <tr r="I55" s="14"/>
        <tr r="I55" s="14"/>
      </tp>
      <tp t="s">
        <v>#N/A Requesting Data...3515162161</v>
        <stp/>
        <stp>BDP|14892903796833351496</stp>
        <tr r="AK34" s="14"/>
      </tp>
      <tp t="s">
        <v>#N/A Requesting Data...2810942882</v>
        <stp/>
        <stp>BDP|16889663704762658188</stp>
        <tr r="C114" s="12"/>
      </tp>
      <tp t="s">
        <v>#N/A N/A</v>
        <stp/>
        <stp>BDP|12445512661284070603</stp>
        <tr r="AH78" s="14"/>
        <tr r="AH78" s="14"/>
      </tp>
      <tp t="s">
        <v>#N/A Requesting Data...2495482160</v>
        <stp/>
        <stp>BDP|11223820688037441586</stp>
        <tr r="K75" s="14"/>
      </tp>
      <tp t="s">
        <v>#N/A Requesting Data...1423469619</v>
        <stp/>
        <stp>BDP|17259135651316043641</stp>
        <tr r="AP18" s="14"/>
      </tp>
      <tp t="s">
        <v>#N/A Requesting Data...3029258125</v>
        <stp/>
        <stp>BDP|13274302561964268160</stp>
        <tr r="AP101" s="14"/>
      </tp>
      <tp t="s">
        <v>#N/A N/A</v>
        <stp/>
        <stp>BDP|16710448190239096148</stp>
        <tr r="J84" s="14"/>
        <tr r="J84" s="14"/>
      </tp>
      <tp t="s">
        <v>#N/A N/A</v>
        <stp/>
        <stp>BDS|11743973216819145333</stp>
        <tr r="AI20" s="14"/>
        <tr r="AI20" s="14"/>
      </tp>
      <tp t="s">
        <v>#N/A Requesting Data...2272036116</v>
        <stp/>
        <stp>BDP|17886383690677108962</stp>
        <tr r="D48" s="14"/>
        <tr r="C46" s="16"/>
      </tp>
      <tp t="s">
        <v>#N/A Requesting Data...2411344545</v>
        <stp/>
        <stp>BDP|10259149275616674320</stp>
        <tr r="H93" s="14"/>
      </tp>
      <tp t="s">
        <v>#N/A N/A</v>
        <stp/>
        <stp>BDP|15831537471546521280</stp>
        <tr r="D14" s="7"/>
      </tp>
      <tp t="s">
        <v>#N/A Requesting Data...2007587527</v>
        <stp/>
        <stp>BDP|15874380765485416660</stp>
        <tr r="AF34" s="14"/>
      </tp>
      <tp t="s">
        <v>#N/A Requesting Data...3938210881</v>
        <stp/>
        <stp>BDP|10426355902944167459</stp>
        <tr r="AO41" s="14"/>
        <tr r="AO41" s="14"/>
      </tp>
      <tp t="s">
        <v>#N/A N/A</v>
        <stp/>
        <stp>BDP|10050151807281042352</stp>
        <tr r="R22" s="1"/>
      </tp>
      <tp t="s">
        <v>#N/A Requesting Data...1309486990</v>
        <stp/>
        <stp>BDP|10137345564515036367</stp>
        <tr r="E11" s="1"/>
      </tp>
      <tp t="s">
        <v>#N/A Requesting Data...1625553369</v>
        <stp/>
        <stp>BDP|15056704172582754424</stp>
        <tr r="G19" s="16"/>
      </tp>
      <tp t="s">
        <v>#N/A Requesting Data...2079146988</v>
        <stp/>
        <stp>BDP|10376511201496331075</stp>
        <tr r="G60" s="14"/>
      </tp>
      <tp t="s">
        <v>#N/A N/A</v>
        <stp/>
        <stp>BDP|12691708911312310528</stp>
        <tr r="V19" s="7"/>
      </tp>
      <tp t="s">
        <v>#N/A N/A</v>
        <stp/>
        <stp>BDP|12325166700983137324</stp>
        <tr r="AC23" s="1"/>
      </tp>
      <tp t="s">
        <v>#N/A N/A</v>
        <stp/>
        <stp>BDP|18371764095506385351</stp>
        <tr r="AJ13" s="1"/>
      </tp>
      <tp t="s">
        <v>#N/A Requesting Data...3736455118</v>
        <stp/>
        <stp>BDP|13796398041685038299</stp>
        <tr r="D93" s="16"/>
        <tr r="E95" s="14"/>
      </tp>
      <tp t="s">
        <v>#N/A Requesting Data...2329677428</v>
        <stp/>
        <stp>BDP|12754019644990411507</stp>
        <tr r="AU13" s="14"/>
      </tp>
      <tp t="s">
        <v>#N/A Requesting Data...1889340148</v>
        <stp/>
        <stp>BDP|12200713230671300467</stp>
        <tr r="C56" s="12"/>
      </tp>
      <tp t="s">
        <v>#N/A Requesting Data...3411190372</v>
        <stp/>
        <stp>BDP|14958740686381555981</stp>
        <tr r="H26" s="14"/>
      </tp>
      <tp t="s">
        <v>#N/A Requesting Data...2524092562</v>
        <stp/>
        <stp>BDP|17219690238734250573</stp>
        <tr r="G38" s="14"/>
      </tp>
      <tp t="s">
        <v>#N/A N/A</v>
        <stp/>
        <stp>BDP|17288158429781965616</stp>
        <tr r="E12" s="1"/>
      </tp>
      <tp t="s">
        <v>#N/A N/A</v>
        <stp/>
        <stp>BDH|14063177725702717662</stp>
        <tr r="AO23" s="1"/>
      </tp>
      <tp t="s">
        <v>#N/A N/A</v>
        <stp/>
        <stp>BDH|17549171918350942406</stp>
        <tr r="AE62" s="14"/>
      </tp>
      <tp t="s">
        <v>#N/A N/A</v>
        <stp/>
        <stp>BDH|11616964195194362626</stp>
        <tr r="AE58" s="14"/>
      </tp>
      <tp t="s">
        <v>#N/A N/A</v>
        <stp/>
        <stp>BDH|12152979615708478103</stp>
        <tr r="X17" s="7"/>
      </tp>
      <tp t="s">
        <v>#N/A N/A</v>
        <stp/>
        <stp>BDH|11227782023132464542</stp>
        <tr r="AI14" s="14"/>
        <tr r="AI15" s="14"/>
      </tp>
      <tp t="s">
        <v>#N/A N/A</v>
        <stp/>
        <stp>BDH|17671160111557938307</stp>
        <tr r="AE21" s="14"/>
      </tp>
      <tp t="s">
        <v>#N/A N/A</v>
        <stp/>
        <stp>BDH|12297577272882285183</stp>
        <tr r="AE52" s="14"/>
      </tp>
      <tp t="s">
        <v>#N/A N/A</v>
        <stp/>
        <stp>BADDPERIODS|16003434635785102375</stp>
        <tr r="AH73" s="14"/>
      </tp>
      <tp t="s">
        <v>#N/A N/A</v>
        <stp/>
        <stp>BDH|10579528813133870439</stp>
        <tr r="AO19" s="1"/>
      </tp>
      <tp t="s">
        <v>#N/A N/A</v>
        <stp/>
        <stp>BDH|10775573349205454724</stp>
        <tr r="AE50" s="14"/>
      </tp>
      <tp t="s">
        <v>#N/A N/A</v>
        <stp/>
        <stp>BADDPERIODS|12395419910278430844</stp>
        <tr r="AH106" s="14"/>
      </tp>
      <tp t="s">
        <v>#N/A N/A</v>
        <stp/>
        <stp>BADDPERIODS|17198638874379000858</stp>
        <tr r="AH72" s="14"/>
      </tp>
    </main>
    <main first="bofaddin.rtdserver">
      <tp t="s">
        <v>#N/A N/A</v>
        <stp/>
        <stp>BDP|12962322442552022708</stp>
        <tr r="D15" s="4"/>
      </tp>
      <tp t="s">
        <v>#N/A Requesting Data...2228189705</v>
        <stp/>
        <stp>BDP|11259691963492284337</stp>
        <tr r="AM34" s="14"/>
      </tp>
      <tp t="s">
        <v>#N/A Requesting Data...3518010020</v>
        <stp/>
        <stp>BDP|14289770614535840705</stp>
        <tr r="AU88" s="14"/>
      </tp>
      <tp t="s">
        <v>#N/A N/A</v>
        <stp/>
        <stp>BDP|16881561720850351148</stp>
        <tr r="S17" s="1"/>
      </tp>
      <tp t="s">
        <v>#N/A Requesting Data...3245602700</v>
        <stp/>
        <stp>BDP|12687265478135799266</stp>
        <tr r="AU89" s="14"/>
      </tp>
      <tp t="s">
        <v>#N/A Requesting Data...3074213902</v>
        <stp/>
        <stp>BDP|12223716199054439871</stp>
        <tr r="D83" s="16"/>
        <tr r="E85" s="14"/>
      </tp>
      <tp t="s">
        <v>#N/A Requesting Data...3509776559</v>
        <stp/>
        <stp>BDP|17275503131037934632</stp>
        <tr r="D77" s="12"/>
      </tp>
      <tp t="s">
        <v>#N/A Requesting Data...3503009861</v>
        <stp/>
        <stp>BDP|10405104348615747022</stp>
        <tr r="AO21" s="14"/>
        <tr r="AO21" s="14"/>
      </tp>
      <tp t="s">
        <v>#N/A N/A</v>
        <stp/>
        <stp>BDP|17636534471980573591</stp>
        <tr r="V18" s="7"/>
      </tp>
      <tp t="s">
        <v>#N/A Requesting Data...1181495227</v>
        <stp/>
        <stp>BDP|14785910496344051080</stp>
        <tr r="H101" s="16"/>
        <tr r="H101" s="16"/>
        <tr r="F103" s="14"/>
        <tr r="F103" s="14"/>
      </tp>
      <tp t="s">
        <v>#N/A Requesting Data...1187785809</v>
        <stp/>
        <stp>BDP|13684162664030563491</stp>
        <tr r="AK11" s="1"/>
      </tp>
      <tp t="s">
        <v>#N/A N/A</v>
        <stp/>
        <stp>BDP|17291939991785986213</stp>
        <tr r="G23" s="7"/>
      </tp>
      <tp t="s">
        <v>#N/A Requesting Data...2048084885</v>
        <stp/>
        <stp>BDP|15103166678704670717</stp>
        <tr r="AP55" s="14"/>
      </tp>
      <tp t="s">
        <v>#N/A Requesting Data...4258099882</v>
        <stp/>
        <stp>BDP|12344719921983811435</stp>
        <tr r="F16" s="16"/>
      </tp>
      <tp t="s">
        <v>#N/A N/A</v>
        <stp/>
        <stp>BDP|10103210221634977407</stp>
        <tr r="I46" s="16"/>
        <tr r="I54" s="16"/>
        <tr r="I55" s="16"/>
      </tp>
      <tp t="s">
        <v>#N/A Requesting Data...2862165170</v>
        <stp/>
        <stp>BDP|11158349735843178296</stp>
        <tr r="C64" s="14"/>
      </tp>
      <tp t="s">
        <v>#N/A Requesting Data...4111104155</v>
        <stp/>
        <stp>BDP|12661938355526888838</stp>
        <tr r="G19" s="14"/>
      </tp>
      <tp t="s">
        <v>#N/A Requesting Data...1736896177</v>
        <stp/>
        <stp>BDP|18030416110014285987</stp>
        <tr r="AT17" s="14"/>
      </tp>
      <tp t="s">
        <v>#N/A Requesting Data...2534021757</v>
        <stp/>
        <stp>BDP|13383485794276074841</stp>
        <tr r="AT107" s="14"/>
      </tp>
      <tp t="s">
        <v>#N/A Requesting Data...1368895005</v>
        <stp/>
        <stp>BDP|17251538755200830775</stp>
        <tr r="C88" s="12"/>
      </tp>
      <tp t="s">
        <v>#N/A Requesting Data...1964366493</v>
        <stp/>
        <stp>BDP|11733494344956967781</stp>
        <tr r="AL74" s="14"/>
      </tp>
      <tp t="s">
        <v>#N/A Requesting Data...1807964406</v>
        <stp/>
        <stp>BDP|11833310197338042358</stp>
        <tr r="AH24" s="14"/>
      </tp>
      <tp t="s">
        <v>#N/A Requesting Data...2273872863</v>
        <stp/>
        <stp>BDP|11205091580310546954</stp>
        <tr r="AE32" s="14"/>
      </tp>
      <tp t="s">
        <v>#N/A Requesting Data...4186355915</v>
        <stp/>
        <stp>BDP|15036554563936899056</stp>
        <tr r="AO89" s="14"/>
        <tr r="AO89" s="14"/>
      </tp>
      <tp t="s">
        <v>#N/A Requesting Data...3735888182</v>
        <stp/>
        <stp>BDP|15043870105515935803</stp>
        <tr r="H57" s="14"/>
      </tp>
      <tp t="s">
        <v>#N/A Requesting Data...3203291500</v>
        <stp/>
        <stp>BDP|12226291423382289018</stp>
        <tr r="AK63" s="14"/>
      </tp>
      <tp t="s">
        <v>#N/A Requesting Data...4160444185</v>
        <stp/>
        <stp>BDP|15873317172989868897</stp>
        <tr r="I63" s="14"/>
        <tr r="I63" s="14"/>
      </tp>
      <tp t="s">
        <v>#N/A N/A</v>
        <stp/>
        <stp>BDP|10618238233091421084</stp>
        <tr r="G20" s="7"/>
      </tp>
      <tp t="s">
        <v>#N/A Requesting Data...4044308360</v>
        <stp/>
        <stp>BDP|13372184805990266262</stp>
        <tr r="C93" s="14"/>
      </tp>
      <tp t="s">
        <v>#N/A Requesting Data...1225936335</v>
        <stp/>
        <stp>BDP|11048955399872574333</stp>
        <tr r="C27" s="14"/>
      </tp>
      <tp t="s">
        <v>#N/A Requesting Data...3877781712</v>
        <stp/>
        <stp>BDP|11690225136824826405</stp>
        <tr r="C17" s="12"/>
      </tp>
      <tp t="s">
        <v>#N/A Requesting Data...2514369823</v>
        <stp/>
        <stp>BDP|16114297631917350009</stp>
        <tr r="AU76" s="14"/>
      </tp>
      <tp t="s">
        <v>#N/A Requesting Data...4213396503</v>
        <stp/>
        <stp>BDP|14300204021644911011</stp>
        <tr r="H83" s="14"/>
      </tp>
      <tp t="s">
        <v>#N/A Requesting Data...1413132961</v>
        <stp/>
        <stp>BDP|16576005650686915560</stp>
        <tr r="D61" s="16"/>
        <tr r="E63" s="14"/>
      </tp>
      <tp t="s">
        <v>#N/A Requesting Data...3284671703</v>
        <stp/>
        <stp>BDP|17049089657975515778</stp>
        <tr r="AF56" s="14"/>
      </tp>
      <tp t="s">
        <v>#N/A Requesting Data...3585398856</v>
        <stp/>
        <stp>BDP|11117228508521764219</stp>
        <tr r="C76" s="14"/>
      </tp>
      <tp t="s">
        <v>#N/A Requesting Data...3326741478</v>
        <stp/>
        <stp>BDP|12065068711263887027</stp>
        <tr r="C78" s="14"/>
      </tp>
      <tp t="s">
        <v>#N/A N/A</v>
        <stp/>
        <stp>BDP|15099401188869190048</stp>
        <tr r="E23" s="7"/>
      </tp>
      <tp t="s">
        <v>#N/A Requesting Data...1408583253</v>
        <stp/>
        <stp>BDP|17807874698387226185</stp>
        <tr r="AO84" s="14"/>
        <tr r="AO84" s="14"/>
      </tp>
      <tp t="s">
        <v>#N/A Requesting Data...1507318071</v>
        <stp/>
        <stp>BDP|12024403506484875235</stp>
        <tr r="AN93" s="14"/>
      </tp>
      <tp t="s">
        <v>#N/A N/A</v>
        <stp/>
        <stp>BDP|10286266552390373797</stp>
        <tr r="K88" s="16"/>
        <tr r="K89" s="16"/>
      </tp>
      <tp t="s">
        <v>#N/A Requesting Data...2256710756</v>
        <stp/>
        <stp>BDP|12955775831390599668</stp>
        <tr r="H19" s="16"/>
        <tr r="H19" s="16"/>
        <tr r="F21" s="14"/>
        <tr r="F21" s="14"/>
      </tp>
      <tp t="s">
        <v>#N/A N/A</v>
        <stp/>
        <stp>BDP|11496418969255272625</stp>
        <tr r="F23" s="1"/>
      </tp>
      <tp t="s">
        <v>#N/A Requesting Data...2079846179</v>
        <stp/>
        <stp>BDP|13660738714771987440</stp>
        <tr r="AH46" s="14"/>
      </tp>
      <tp t="s">
        <v>#N/A N/A</v>
        <stp/>
        <stp>BDP|10542464368502026077</stp>
        <tr r="N25" s="6"/>
      </tp>
      <tp t="s">
        <v>#N/A N/A</v>
        <stp/>
        <stp>BDP|15302526772211704684</stp>
        <tr r="N17" s="6"/>
      </tp>
      <tp t="s">
        <v>#N/A Requesting Data...2443566023</v>
        <stp/>
        <stp>BDP|16562248829484123267</stp>
        <tr r="AD87" s="14"/>
      </tp>
      <tp t="s">
        <v>#N/A N/A</v>
        <stp/>
        <stp>BDP|16658780760772792565</stp>
        <tr r="J67" s="14"/>
        <tr r="J67" s="14"/>
      </tp>
      <tp t="s">
        <v>#N/A Requesting Data...1198416361</v>
        <stp/>
        <stp>BDP|17770388096188100573</stp>
        <tr r="AS110" s="14"/>
      </tp>
      <tp t="s">
        <v>#N/A Requesting Data...2380753248</v>
        <stp/>
        <stp>BDP|16386010251556407581</stp>
        <tr r="AB80" s="14"/>
        <tr r="AB80" s="14"/>
      </tp>
      <tp t="s">
        <v>#N/A Requesting Data...3465915391</v>
        <stp/>
        <stp>BDP|17046284504387022230</stp>
        <tr r="H80" s="16"/>
        <tr r="H80" s="16"/>
        <tr r="F82" s="14"/>
        <tr r="F82" s="14"/>
      </tp>
      <tp t="s">
        <v>#N/A N/A</v>
        <stp/>
        <stp>BDP|14053472319143711266</stp>
        <tr r="P26" s="6"/>
      </tp>
      <tp t="s">
        <v>#N/A N/A</v>
        <stp/>
        <stp>BDP|10629554600296812341</stp>
        <tr r="W20" s="6"/>
      </tp>
      <tp t="s">
        <v>#N/A Requesting Data...1346751084</v>
        <stp/>
        <stp>BDP|13028694235393233512</stp>
        <tr r="AQ98" s="14"/>
      </tp>
      <tp t="s">
        <v>#N/A Requesting Data...3960952901</v>
        <stp/>
        <stp>BDP|16999662260342224433</stp>
        <tr r="I21" s="1"/>
      </tp>
      <tp t="s">
        <v>#N/A Requesting Data...1276910699</v>
        <stp/>
        <stp>BDP|15321369658444135725</stp>
        <tr r="C78" s="12"/>
      </tp>
      <tp t="s">
        <v>#N/A Requesting Data...3162474079</v>
        <stp/>
        <stp>BDP|13214886313072519829</stp>
        <tr r="AR41" s="14"/>
      </tp>
      <tp t="s">
        <v>#N/A Requesting Data...1391683354</v>
        <stp/>
        <stp>BDP|15288791872327026274</stp>
        <tr r="AH54" s="14"/>
      </tp>
      <tp t="s">
        <v>#N/A Requesting Data...1777528651</v>
        <stp/>
        <stp>BDP|13086143949230789642</stp>
        <tr r="E64" s="16"/>
      </tp>
      <tp t="s">
        <v>#N/A N/A</v>
        <stp/>
        <stp>BDP|10605733548447579462</stp>
        <tr r="AH106" s="14"/>
        <tr r="AH106" s="14"/>
      </tp>
      <tp t="s">
        <v>#N/A Requesting Data...1261197058</v>
        <stp/>
        <stp>BDP|12760716852195224581</stp>
        <tr r="AM63" s="14"/>
      </tp>
      <tp t="s">
        <v>#N/A Requesting Data...3592368025</v>
        <stp/>
        <stp>BDP|17531581983572037805</stp>
        <tr r="AK13" s="5"/>
        <tr r="AK25" s="1"/>
        <tr r="AK24" s="1"/>
        <tr r="AK12" s="5"/>
        <tr r="AK28" s="1"/>
        <tr r="AK26" s="1"/>
        <tr r="AK27" s="1"/>
      </tp>
      <tp t="s">
        <v>#N/A Requesting Data...3013157241</v>
        <stp/>
        <stp>BDP|17362611703574920565</stp>
        <tr r="V89" s="14"/>
      </tp>
      <tp t="s">
        <v>#N/A N/A</v>
        <stp/>
        <stp>BDP|14965425419089223819</stp>
        <tr r="L42" s="16"/>
      </tp>
      <tp t="s">
        <v>#N/A Requesting Data...4238646482</v>
        <stp/>
        <stp>BDP|17797657262863205439</stp>
        <tr r="AL52" s="14"/>
      </tp>
      <tp t="s">
        <v>#N/A N/A</v>
        <stp/>
        <stp>BDP|18182563477018060211</stp>
        <tr r="K59" s="16"/>
        <tr r="K24" s="16"/>
        <tr r="K25" s="16"/>
        <tr r="K67" s="16"/>
        <tr r="K58" s="16"/>
      </tp>
      <tp t="s">
        <v>#N/A Requesting Data...1216324697</v>
        <stp/>
        <stp>BDP|13381770672810152367</stp>
        <tr r="C63" s="14"/>
      </tp>
      <tp t="s">
        <v>#N/A Requesting Data...4106250678</v>
        <stp/>
        <stp>BDP|13788979706299780309</stp>
        <tr r="C71" s="16"/>
        <tr r="D73" s="14"/>
      </tp>
      <tp t="s">
        <v>#N/A Requesting Data...2161755810</v>
        <stp/>
        <stp>BDP|12177256670852485510</stp>
        <tr r="D93" s="12"/>
      </tp>
      <tp t="s">
        <v>#N/A Requesting Data...1389581658</v>
        <stp/>
        <stp>BDP|18329760946338302316</stp>
        <tr r="D42" s="14"/>
        <tr r="C40" s="16"/>
      </tp>
      <tp t="s">
        <v>#N/A Requesting Data...2056438426</v>
        <stp/>
        <stp>BDP|17905326996709930448</stp>
        <tr r="F58" s="16"/>
      </tp>
      <tp t="s">
        <v>#N/A Requesting Data...2598888594</v>
        <stp/>
        <stp>BDP|17363775407262187220</stp>
        <tr r="AO107" s="14"/>
        <tr r="AO107" s="14"/>
      </tp>
      <tp t="s">
        <v>#N/A Requesting Data...3147262225</v>
        <stp/>
        <stp>BDP|16669275395754795935</stp>
        <tr r="D85" s="14"/>
        <tr r="C83" s="16"/>
      </tp>
      <tp t="s">
        <v>#N/A Requesting Data...2533211582</v>
        <stp/>
        <stp>BDP|10334104270485489375</stp>
        <tr r="AT56" s="14"/>
      </tp>
      <tp t="s">
        <v>#N/A Requesting Data...2282943443</v>
        <stp/>
        <stp>BDP|10757968494419308964</stp>
        <tr r="C104" s="16"/>
        <tr r="D106" s="14"/>
      </tp>
      <tp t="s">
        <v>#N/A Requesting Data...1198581091</v>
        <stp/>
        <stp>BDP|14337808587534465009</stp>
        <tr r="V34" s="14"/>
      </tp>
      <tp t="s">
        <v>#N/A Requesting Data...3252362267</v>
        <stp/>
        <stp>BDP|15426421409746592796</stp>
        <tr r="AO93" s="14"/>
        <tr r="AO93" s="14"/>
      </tp>
      <tp t="s">
        <v>#N/A N/A</v>
        <stp/>
        <stp>BDP|13787110224258261837</stp>
        <tr r="I103" s="16"/>
        <tr r="I105" s="16"/>
        <tr r="I101" s="16"/>
        <tr r="I102" s="16"/>
      </tp>
      <tp t="s">
        <v>#N/A Requesting Data...2086237347</v>
        <stp/>
        <stp>BDP|13894277711407429791</stp>
        <tr r="AP91" s="14"/>
        <tr r="AP90" s="14"/>
      </tp>
      <tp t="s">
        <v>#N/A Requesting Data...2162227993</v>
        <stp/>
        <stp>BDP|14457259951135229610</stp>
        <tr r="AQ47" s="14"/>
      </tp>
      <tp t="s">
        <v>#N/A Requesting Data...1575219366</v>
        <stp/>
        <stp>BDP|14926186442698439942</stp>
        <tr r="C77" s="16"/>
        <tr r="D79" s="14"/>
      </tp>
      <tp t="s">
        <v>#N/A N/A</v>
        <stp/>
        <stp>BDP|15500884929717187869</stp>
        <tr r="U14" s="6"/>
      </tp>
      <tp t="s">
        <v>#N/A Requesting Data...2332839619</v>
        <stp/>
        <stp>BDP|13036762954931398020</stp>
        <tr r="G68" s="16"/>
      </tp>
      <tp t="s">
        <v>#N/A Requesting Data...4208101326</v>
        <stp/>
        <stp>BDP|13915927269948371429</stp>
        <tr r="F22" s="1"/>
      </tp>
      <tp t="s">
        <v>#N/A Requesting Data...2074468021</v>
        <stp/>
        <stp>BDP|11831126078494804391</stp>
        <tr r="AR18" s="14"/>
      </tp>
      <tp t="s">
        <v>#N/A N/A</v>
        <stp/>
        <stp>BDP|14404101100242717705</stp>
        <tr r="K13" s="4"/>
      </tp>
      <tp t="s">
        <v>#N/A N/A</v>
        <stp/>
        <stp>BDP|17572096890386927865</stp>
        <tr r="K38" s="16"/>
      </tp>
      <tp t="s">
        <v>#N/A Requesting Data...2199333946</v>
        <stp/>
        <stp>BDP|12529127958807465194</stp>
        <tr r="G37" s="16"/>
      </tp>
      <tp t="s">
        <v>#N/A Requesting Data...3488628302</v>
        <stp/>
        <stp>BDP|10267201106917773516</stp>
        <tr r="AR92" s="14"/>
      </tp>
      <tp t="s">
        <v>#N/A N/A</v>
        <stp/>
        <stp>BDP|17242946764598191010</stp>
        <tr r="AH27" s="14"/>
        <tr r="AH27" s="14"/>
      </tp>
      <tp t="s">
        <v>#N/A Requesting Data...4099164087</v>
        <stp/>
        <stp>BDP|17890089937082543606</stp>
        <tr r="I50" s="14"/>
        <tr r="I50" s="14"/>
      </tp>
      <tp t="s">
        <v>#N/A Requesting Data...3892073377</v>
        <stp/>
        <stp>BDP|11693477537541326779</stp>
        <tr r="E104" s="16"/>
      </tp>
      <tp t="s">
        <v>#N/A Requesting Data...3167575458</v>
        <stp/>
        <stp>BDP|10749687673266904775</stp>
        <tr r="AS13" s="14"/>
      </tp>
      <tp t="s">
        <v>#N/A Requesting Data...2769283461</v>
        <stp/>
        <stp>BDP|12187646825591638731</stp>
        <tr r="AL17" s="14"/>
      </tp>
      <tp t="s">
        <v>#N/A Requesting Data...3423005664</v>
        <stp/>
        <stp>BDP|15998748157545656299</stp>
        <tr r="AN23" s="14"/>
      </tp>
      <tp t="s">
        <v>#N/A Requesting Data...1992621666</v>
        <stp/>
        <stp>BDP|11483227232499402954</stp>
        <tr r="AB44" s="14"/>
        <tr r="AB44" s="14"/>
      </tp>
      <tp t="s">
        <v>#N/A N/A</v>
        <stp/>
        <stp>BDP|11333179271332746572</stp>
        <tr r="J79" s="14"/>
        <tr r="J79" s="14"/>
      </tp>
      <tp t="s">
        <v>#N/A Requesting Data...2281544328</v>
        <stp/>
        <stp>BDP|10615599148237751651</stp>
        <tr r="AO23" s="14"/>
        <tr r="AO23" s="14"/>
      </tp>
      <tp t="s">
        <v>#N/A N/A</v>
        <stp/>
        <stp>BDP|11610369112831663218</stp>
        <tr r="J16" s="14"/>
      </tp>
      <tp t="s">
        <v>#N/A N/A</v>
        <stp/>
        <stp>BDP|16384552956227504105</stp>
        <tr r="L40" s="16"/>
        <tr r="L82" s="16"/>
        <tr r="L39" s="16"/>
      </tp>
      <tp t="s">
        <v>#N/A Requesting Data...2188571111</v>
        <stp/>
        <stp>BDP|16568729427671068252</stp>
        <tr r="AU44" s="14"/>
      </tp>
      <tp t="s">
        <v>#N/A Requesting Data...2012233842</v>
        <stp/>
        <stp>BDP|15257238534186363238</stp>
        <tr r="AD26" s="14"/>
      </tp>
      <tp t="s">
        <v>#N/A Requesting Data...2834327254</v>
        <stp/>
        <stp>BDP|17656003772575284539</stp>
        <tr r="AK59" s="14"/>
      </tp>
      <tp t="s">
        <v>#N/A Requesting Data...3978297109</v>
        <stp/>
        <stp>BDP|14468432465875753309</stp>
        <tr r="G64" s="16"/>
      </tp>
      <tp t="s">
        <v>#N/A Requesting Data...3631776077</v>
        <stp/>
        <stp>BDP|15691170244331193113</stp>
        <tr r="AL95" s="14"/>
      </tp>
      <tp t="s">
        <v>#N/A Requesting Data...3412462780</v>
        <stp/>
        <stp>BDP|12313983799510238253</stp>
        <tr r="AN106" s="14"/>
      </tp>
      <tp t="s">
        <v>#N/A N/A</v>
        <stp/>
        <stp>BDP|17775981596137801042</stp>
        <tr r="AH109" s="14"/>
        <tr r="AH109" s="14"/>
      </tp>
      <tp t="s">
        <v>#N/A Requesting Data...1831606051</v>
        <stp/>
        <stp>BDP|13012465060071392009</stp>
        <tr r="AU61" s="14"/>
      </tp>
      <tp t="s">
        <v>#N/A N/A</v>
        <stp/>
        <stp>BDP|14771841702778492413</stp>
        <tr r="T36" s="14"/>
        <tr r="T36" s="14"/>
      </tp>
      <tp t="s">
        <v>#N/A N/A</v>
        <stp/>
        <stp>BDP|16817609207120377084</stp>
        <tr r="L20" s="16"/>
        <tr r="L61" s="16"/>
        <tr r="L63" s="16"/>
      </tp>
      <tp t="s">
        <v>#N/A Requesting Data...2455140231</v>
        <stp/>
        <stp>BDP|12890760051040377084</stp>
        <tr r="AR50" s="14"/>
      </tp>
      <tp t="s">
        <v>#N/A Requesting Data...1821141342</v>
        <stp/>
        <stp>BDP|11112887520818968341</stp>
        <tr r="AO24" s="14"/>
        <tr r="AO24" s="14"/>
      </tp>
      <tp t="s">
        <v>#N/A Requesting Data...3227706491</v>
        <stp/>
        <stp>BDP|17406771414777491677</stp>
        <tr r="AH49" s="14"/>
      </tp>
      <tp t="s">
        <v>#N/A Requesting Data...2571484478</v>
        <stp/>
        <stp>BDP|17436148773436181769</stp>
        <tr r="AU105" s="14"/>
      </tp>
      <tp t="s">
        <v>#N/A N/A</v>
        <stp/>
        <stp>BDP|11342521971473127051</stp>
        <tr r="N19" s="7"/>
      </tp>
      <tp t="s">
        <v>#N/A Requesting Data...2369382955</v>
        <stp/>
        <stp>BDP|14576627641474551273</stp>
        <tr r="F94" s="16"/>
      </tp>
      <tp t="s">
        <v>#N/A Requesting Data...3310714041</v>
        <stp/>
        <stp>BDP|10630823491468935987</stp>
        <tr r="AO104" s="14"/>
        <tr r="AO104" s="14"/>
      </tp>
      <tp t="s">
        <v>#N/A Requesting Data...2608200214</v>
        <stp/>
        <stp>BDP|14898551958053516749</stp>
        <tr r="AF71" s="14"/>
      </tp>
      <tp t="s">
        <v>#N/A Requesting Data...3899479567</v>
        <stp/>
        <stp>BDP|17646443047410222736</stp>
        <tr r="C24" s="16"/>
        <tr r="D26" s="14"/>
      </tp>
      <tp t="s">
        <v>#N/A N/A</v>
        <stp/>
        <stp>BDP|10100576464287676405</stp>
        <tr r="K20" s="16"/>
        <tr r="K61" s="16"/>
        <tr r="K63" s="16"/>
      </tp>
      <tp t="s">
        <v>#N/A Requesting Data...3025606277</v>
        <stp/>
        <stp>BDP|12691008961485199129</stp>
        <tr r="AK36" s="14"/>
      </tp>
      <tp t="s">
        <v>#N/A N/A</v>
        <stp/>
        <stp>BDP|14115643016317210454</stp>
        <tr r="J90" s="14"/>
        <tr r="J91" s="14"/>
      </tp>
      <tp t="s">
        <v>#N/A Requesting Data...2301655455</v>
        <stp/>
        <stp>BDP|15253928813254444906</stp>
        <tr r="C68" s="16"/>
        <tr r="D70" s="14"/>
      </tp>
      <tp t="s">
        <v>#N/A N/A</v>
        <stp/>
        <stp>BDP|17580947493301592608</stp>
        <tr r="J33" s="14"/>
      </tp>
      <tp t="s">
        <v>#N/A N/A</v>
        <stp/>
        <stp>BDP|15244177257001796027</stp>
        <tr r="V40" s="14"/>
      </tp>
      <tp t="s">
        <v>#N/A Requesting Data...3738101629</v>
        <stp/>
        <stp>BDP|14482265854325483655</stp>
        <tr r="F63" s="14"/>
        <tr r="F63" s="14"/>
        <tr r="H61" s="16"/>
        <tr r="H61" s="16"/>
      </tp>
      <tp t="s">
        <v>#N/A Requesting Data...4078922845</v>
        <stp/>
        <stp>BDP|11507889484449972879</stp>
        <tr r="AU95" s="14"/>
      </tp>
      <tp t="s">
        <v>#N/A Requesting Data...2466162146</v>
        <stp/>
        <stp>BDP|15959533231124452785</stp>
        <tr r="AD81" s="14"/>
      </tp>
      <tp t="s">
        <v>#N/A Requesting Data...2916143271</v>
        <stp/>
        <stp>BDP|10843217036962944318</stp>
        <tr r="AB63" s="14"/>
        <tr r="AB63" s="14"/>
      </tp>
      <tp t="s">
        <v>#N/A N/A</v>
        <stp/>
        <stp>BDP|12617674857126651775</stp>
        <tr r="K100" s="16"/>
        <tr r="K11" s="16"/>
        <tr r="K60" s="16"/>
        <tr r="K65" s="16"/>
        <tr r="K73" s="16"/>
        <tr r="K74" s="16"/>
        <tr r="K75" s="16"/>
      </tp>
      <tp t="s">
        <v>#N/A Requesting Data...3232748045</v>
        <stp/>
        <stp>BDP|10182251635112741307</stp>
        <tr r="AO19" s="14"/>
        <tr r="AO19" s="14"/>
      </tp>
      <tp t="s">
        <v>#N/A Requesting Data...4222168929</v>
        <stp/>
        <stp>BDP|13971581522784277078</stp>
        <tr r="H43" s="14"/>
      </tp>
      <tp t="s">
        <v>#N/A N/A</v>
        <stp/>
        <stp>BDP|15509094034351731799</stp>
        <tr r="S11" s="5"/>
      </tp>
      <tp t="s">
        <v>#N/A N/A</v>
        <stp/>
        <stp>BDP|14781828726559167740</stp>
        <tr r="I41" s="16"/>
      </tp>
      <tp t="s">
        <v>#N/A N/A</v>
        <stp/>
        <stp>BDP|16164674767997380142</stp>
        <tr r="T16" s="7"/>
      </tp>
      <tp t="s">
        <v>#N/A Requesting Data...4234424138</v>
        <stp/>
        <stp>BDP|16242131355346059423</stp>
        <tr r="E67" s="16"/>
      </tp>
      <tp t="s">
        <v>#N/A Requesting Data...3198259165</v>
        <stp/>
        <stp>BDP|17433722271166039113</stp>
        <tr r="AR90" s="14"/>
        <tr r="AR91" s="14"/>
      </tp>
      <tp t="s">
        <v>#N/A Requesting Data...2785793019</v>
        <stp/>
        <stp>BDP|11208555124553244570</stp>
        <tr r="I45" s="14"/>
      </tp>
      <tp t="s">
        <v>#N/A N/A</v>
        <stp/>
        <stp>BDH|14538470077334691332</stp>
        <tr r="AE103" s="14"/>
      </tp>
      <tp t="s">
        <v>#N/A N/A</v>
        <stp/>
        <stp>BDH|15875507266083893549</stp>
        <tr r="W21" s="7"/>
      </tp>
      <tp t="s">
        <v>#N/A N/A</v>
        <stp/>
        <stp>BDH|16010453880613057910</stp>
        <tr r="AO21" s="1"/>
      </tp>
      <tp t="s">
        <v>#N/A N/A</v>
        <stp/>
        <stp>BADDPERIODS|15995105439775487670</stp>
        <tr r="AH78" s="14"/>
      </tp>
    </main>
    <main first="bofaddin.rtdserver">
      <tp t="s">
        <v>#N/A Requesting Data...2233883207</v>
        <stp/>
        <stp>BDP|16240725400525078599</stp>
        <tr r="G43" s="14"/>
      </tp>
      <tp t="s">
        <v>#N/A N/A</v>
        <stp/>
        <stp>BDP|11867619813484756344</stp>
        <tr r="AL16" s="1"/>
      </tp>
      <tp t="s">
        <v>#N/A N/A</v>
        <stp/>
        <stp>BDP|12485671954363755396</stp>
        <tr r="R13" s="4"/>
      </tp>
      <tp t="s">
        <v>#N/A Requesting Data...2800462301</v>
        <stp/>
        <stp>BDP|12339314005844906477</stp>
        <tr r="G78" s="16"/>
      </tp>
      <tp t="s">
        <v>#N/A Requesting Data...2529879256</v>
        <stp/>
        <stp>BDP|17818537818546379499</stp>
        <tr r="AM50" s="14"/>
      </tp>
      <tp t="s">
        <v>#N/A Requesting Data...3585588765</v>
        <stp/>
        <stp>BDP|11590955148528058511</stp>
        <tr r="H76" s="14"/>
      </tp>
      <tp t="s">
        <v>#N/A N/A</v>
        <stp/>
        <stp>BDP|17752818294110982727</stp>
        <tr r="S21" s="1"/>
      </tp>
      <tp t="s">
        <v>#N/A Requesting Data...2466750859</v>
        <stp/>
        <stp>BDP|18344143439563150865</stp>
        <tr r="AE91" s="14"/>
        <tr r="AE90" s="14"/>
      </tp>
      <tp t="s">
        <v>#N/A Requesting Data...2300441479</v>
        <stp/>
        <stp>BDP|10071201615756403481</stp>
        <tr r="G58" s="12"/>
      </tp>
      <tp t="s">
        <v>#N/A Requesting Data...3905744345</v>
        <stp/>
        <stp>BDP|12876211530772369030</stp>
        <tr r="K32" s="14"/>
      </tp>
      <tp t="s">
        <v>#N/A Requesting Data...1444024264</v>
        <stp/>
        <stp>BDP|17244160396109385788</stp>
        <tr r="G24" s="14"/>
      </tp>
      <tp t="s">
        <v>#N/A N/A</v>
        <stp/>
        <stp>BDP|13887746415684748066</stp>
        <tr r="AH95" s="14"/>
        <tr r="AH95" s="14"/>
      </tp>
      <tp t="s">
        <v>#N/A N/A</v>
        <stp/>
        <stp>BDP|17328414321767992727</stp>
        <tr r="F16" s="7"/>
      </tp>
      <tp t="s">
        <v>#N/A Requesting Data...2832169931</v>
        <stp/>
        <stp>BDP|15692768329903092210</stp>
        <tr r="D98" s="12"/>
      </tp>
      <tp t="s">
        <v>#N/A N/A</v>
        <stp/>
        <stp>BDP|17992163921060798513</stp>
        <tr r="T11" s="14"/>
        <tr r="T11" s="14"/>
      </tp>
      <tp t="s">
        <v>#N/A Requesting Data...2305893784</v>
        <stp/>
        <stp>BDP|15950330506534194366</stp>
        <tr r="H17" s="16"/>
        <tr r="H17" s="16"/>
        <tr r="F19" s="14"/>
        <tr r="F19" s="14"/>
      </tp>
      <tp t="s">
        <v>#N/A N/A</v>
        <stp/>
        <stp>BDP|10865018171643136530</stp>
        <tr r="AC14" s="4"/>
      </tp>
      <tp t="s">
        <v>#N/A N/A</v>
        <stp/>
        <stp>BDP|14499787747373044516</stp>
        <tr r="I25" s="6"/>
      </tp>
      <tp t="s">
        <v>#N/A Requesting Data...2471481483</v>
        <stp/>
        <stp>BDP|16030564760313915758</stp>
        <tr r="C96" s="12"/>
      </tp>
      <tp t="s">
        <v>#N/A Requesting Data...3374632570</v>
        <stp/>
        <stp>BDP|13070478955372998113</stp>
        <tr r="AM29" s="14"/>
      </tp>
      <tp t="s">
        <v>#N/A Requesting Data...3178745409</v>
        <stp/>
        <stp>BDP|14807538460631480750</stp>
        <tr r="AK67" s="14"/>
      </tp>
      <tp t="s">
        <v>#N/A N/A</v>
        <stp/>
        <stp>BDP|12545485266035178402</stp>
        <tr r="S18" s="6"/>
      </tp>
      <tp t="s">
        <v>#N/A Requesting Data...2123390844</v>
        <stp/>
        <stp>BDP|12400319234723820047</stp>
        <tr r="AQ110" s="14"/>
      </tp>
      <tp t="s">
        <v>#N/A Requesting Data...4228804025</v>
        <stp/>
        <stp>BDP|17357170399227544958</stp>
        <tr r="F41" s="14"/>
        <tr r="F41" s="14"/>
        <tr r="H39" s="16"/>
        <tr r="H39" s="16"/>
      </tp>
      <tp t="s">
        <v>#N/A Requesting Data...2884737373</v>
        <stp/>
        <stp>BDP|15150006987544298893</stp>
        <tr r="AP53" s="14"/>
      </tp>
      <tp t="s">
        <v>#N/A Requesting Data...3410890928</v>
        <stp/>
        <stp>BDP|15834610152947645002</stp>
        <tr r="AR104" s="14"/>
      </tp>
      <tp t="s">
        <v>#N/A Requesting Data...2543534602</v>
        <stp/>
        <stp>BDP|15948357450363662171</stp>
        <tr r="C84" s="14"/>
      </tp>
      <tp t="s">
        <v>#N/A Requesting Data...1947389553</v>
        <stp/>
        <stp>BDP|11306934699862775221</stp>
        <tr r="AN73" s="14"/>
      </tp>
      <tp t="s">
        <v>#N/A Requesting Data...1954749076</v>
        <stp/>
        <stp>BDP|10736604092297993905</stp>
        <tr r="AE13" s="14"/>
      </tp>
      <tp t="s">
        <v>#N/A Requesting Data...2003935602</v>
        <stp/>
        <stp>BDP|17488970301798643782</stp>
        <tr r="C107" s="16"/>
        <tr r="D109" s="14"/>
      </tp>
      <tp t="s">
        <v>#N/A Requesting Data...2481955678</v>
        <stp/>
        <stp>BDP|13181327977001847703</stp>
        <tr r="AR84" s="14"/>
      </tp>
      <tp t="s">
        <v>#N/A Requesting Data...3934841860</v>
        <stp/>
        <stp>BDP|11439541076260871228</stp>
        <tr r="AL108" s="14"/>
      </tp>
      <tp t="s">
        <v>#N/A N/A</v>
        <stp/>
        <stp>BDP|16982521225124274401</stp>
        <tr r="E16" s="7"/>
      </tp>
      <tp t="s">
        <v>#N/A N/A</v>
        <stp/>
        <stp>BDP|13407797600040498552</stp>
        <tr r="J46" s="14"/>
        <tr r="J46" s="14"/>
      </tp>
      <tp t="s">
        <v>#N/A Requesting Data...3052168915</v>
        <stp/>
        <stp>BDP|14336250979602794240</stp>
        <tr r="AD84" s="14"/>
      </tp>
      <tp t="s">
        <v>#N/A Requesting Data...3648402019</v>
        <stp/>
        <stp>BDP|14525540135876072581</stp>
        <tr r="AT47" s="14"/>
      </tp>
      <tp t="s">
        <v>#N/A Requesting Data...3849129851</v>
        <stp/>
        <stp>BDP|14816286181019548684</stp>
        <tr r="H62" s="14"/>
      </tp>
      <tp t="s">
        <v>#N/A Requesting Data...3005419515</v>
        <stp/>
        <stp>BDP|13510588302185446279</stp>
        <tr r="AS30" s="14"/>
      </tp>
      <tp t="s">
        <v>#N/A Requesting Data...2768650926</v>
        <stp/>
        <stp>BDP|16015091065386953793</stp>
        <tr r="K82" s="14"/>
      </tp>
      <tp t="s">
        <v>#N/A Requesting Data...2601963774</v>
        <stp/>
        <stp>BDP|14941930431316110963</stp>
        <tr r="D97" s="16"/>
        <tr r="E99" s="14"/>
      </tp>
      <tp t="s">
        <v>#N/A Requesting Data...3479769014</v>
        <stp/>
        <stp>BDP|16042384681474792829</stp>
        <tr r="AB102" s="14"/>
        <tr r="AB102" s="14"/>
      </tp>
      <tp t="s">
        <v>#N/A Requesting Data...1561616044</v>
        <stp/>
        <stp>BDP|17499225453388946931</stp>
        <tr r="AS54" s="14"/>
      </tp>
      <tp t="s">
        <v>#N/A Requesting Data...2259663754</v>
        <stp/>
        <stp>BDP|14361199521713058544</stp>
        <tr r="K68" s="14"/>
      </tp>
      <tp t="s">
        <v>#N/A Requesting Data...3062325226</v>
        <stp/>
        <stp>BDP|13995491424727305383</stp>
        <tr r="I56" s="14"/>
        <tr r="I56" s="14"/>
      </tp>
      <tp t="s">
        <v>#N/A N/A</v>
        <stp/>
        <stp>BDP|18176279282320885334</stp>
        <tr r="T21" s="7"/>
      </tp>
      <tp t="s">
        <v>#N/A Requesting Data...3121049833</v>
        <stp/>
        <stp>BDP|10663281725541267064</stp>
        <tr r="G59" s="16"/>
      </tp>
      <tp t="s">
        <v>#N/A N/A</v>
        <stp/>
        <stp>BDP|13299005239691598014</stp>
        <tr r="U17" s="1"/>
      </tp>
      <tp t="s">
        <v>#N/A Requesting Data...2952185799</v>
        <stp/>
        <stp>BDP|18386961654966850362</stp>
        <tr r="AQ75" s="14"/>
      </tp>
      <tp t="s">
        <v>#N/A Requesting Data...3458604212</v>
        <stp/>
        <stp>BDP|18195127127318393282</stp>
        <tr r="AP76" s="14"/>
      </tp>
      <tp t="s">
        <v>#N/A Requesting Data...3679107913</v>
        <stp/>
        <stp>BDP|17580581063513227625</stp>
        <tr r="AO71" s="14"/>
        <tr r="AO71" s="14"/>
      </tp>
      <tp t="s">
        <v>#N/A Requesting Data...2487996731</v>
        <stp/>
        <stp>BDP|15696447327932981026</stp>
        <tr r="D78" s="12"/>
      </tp>
      <tp t="s">
        <v>#N/A Requesting Data...3691818045</v>
        <stp/>
        <stp>BDP|14281481635526262432</stp>
        <tr r="AF95" s="14"/>
      </tp>
      <tp t="s">
        <v>#N/A N/A</v>
        <stp/>
        <stp>BDP|16684135226482901644</stp>
        <tr r="V20" s="6"/>
      </tp>
      <tp t="s">
        <v>#N/A N/A</v>
        <stp/>
        <stp>BDP|15581794690089340314</stp>
        <tr r="G12" s="6"/>
      </tp>
      <tp t="s">
        <v>#N/A Requesting Data...2193456871</v>
        <stp/>
        <stp>BDP|13902247943635759175</stp>
        <tr r="F67" s="14"/>
        <tr r="F67" s="14"/>
        <tr r="H65" s="16"/>
        <tr r="H65" s="16"/>
      </tp>
      <tp t="s">
        <v>#N/A N/A</v>
        <stp/>
        <stp>BDP|14637527186080474884</stp>
        <tr r="D12" s="7"/>
      </tp>
      <tp t="s">
        <v>#N/A Requesting Data...3659533548</v>
        <stp/>
        <stp>BDP|15632048649815371563</stp>
        <tr r="AS34" s="14"/>
      </tp>
      <tp t="s">
        <v>#N/A N/A</v>
        <stp/>
        <stp>BDP|14283034562890973345</stp>
        <tr r="AH98" s="14"/>
        <tr r="AH98" s="14"/>
      </tp>
      <tp t="s">
        <v>#N/A Requesting Data...2240136276</v>
        <stp/>
        <stp>BDP|10127503159896256748</stp>
        <tr r="AN58" s="14"/>
      </tp>
      <tp t="s">
        <v>#N/A Requesting Data...1988708651</v>
        <stp/>
        <stp>BDP|14589360305386690019</stp>
        <tr r="AE33" s="14"/>
      </tp>
      <tp t="s">
        <v>#N/A Requesting Data...4078873616</v>
        <stp/>
        <stp>BDP|10801814400709988014</stp>
        <tr r="C70" s="12"/>
      </tp>
      <tp t="s">
        <v>#N/A N/A</v>
        <stp/>
        <stp>BDP|15106561990829403126</stp>
        <tr r="J60" s="14"/>
        <tr r="J60" s="14"/>
      </tp>
      <tp t="s">
        <v>#N/A Requesting Data...2898673884</v>
        <stp/>
        <stp>BDP|16465146522832570662</stp>
        <tr r="D30" s="14"/>
        <tr r="C28" s="16"/>
      </tp>
      <tp t="s">
        <v>#N/A Requesting Data...3070271381</v>
        <stp/>
        <stp>BDP|11803068198620696916</stp>
        <tr r="AN98" s="14"/>
      </tp>
      <tp t="s">
        <v>#N/A N/A</v>
        <stp/>
        <stp>BDP|12217197900660856225</stp>
        <tr r="T18" s="7"/>
      </tp>
      <tp t="s">
        <v>#N/A Requesting Data...1991667949</v>
        <stp/>
        <stp>BDP|16375115643577647563</stp>
        <tr r="C72" s="16"/>
        <tr r="D74" s="14"/>
      </tp>
      <tp t="s">
        <v>#N/A N/A</v>
        <stp/>
        <stp>BDP|10763785489537006971</stp>
        <tr r="AA40" s="14"/>
      </tp>
      <tp t="s">
        <v>#N/A Requesting Data...2730248919</v>
        <stp/>
        <stp>BDP|15347110941875484462</stp>
        <tr r="AL84" s="14"/>
      </tp>
      <tp t="s">
        <v>#N/A Requesting Data...3209500860</v>
        <stp/>
        <stp>BDP|12540916795071810285</stp>
        <tr r="G91" s="16"/>
      </tp>
      <tp t="s">
        <v>#N/A Requesting Data...2985743217</v>
        <stp/>
        <stp>BDP|11164023792170060907</stp>
        <tr r="AF42" s="14"/>
      </tp>
      <tp t="s">
        <v>#N/A Requesting Data...1586151922</v>
        <stp/>
        <stp>BDP|14993753470351826445</stp>
        <tr r="AR24" s="14"/>
      </tp>
      <tp t="s">
        <v>#N/A N/A</v>
        <stp/>
        <stp>BDP|16047847457698615259</stp>
        <tr r="V16" s="6"/>
      </tp>
      <tp t="s">
        <v>#N/A Requesting Data...4022368479</v>
        <stp/>
        <stp>BDP|15730332455701757361</stp>
        <tr r="G75" s="16"/>
      </tp>
      <tp t="s">
        <v>#N/A N/A</v>
        <stp/>
        <stp>BDP|13011085390093942810</stp>
        <tr r="I22" s="16"/>
        <tr r="I23" s="16"/>
      </tp>
      <tp t="s">
        <v>#N/A Requesting Data...3107861980</v>
        <stp/>
        <stp>BDP|11523857777196281967</stp>
        <tr r="AL40" s="14"/>
      </tp>
      <tp t="s">
        <v>#N/A N/A</v>
        <stp/>
        <stp>BDP|13653643205081290567</stp>
        <tr r="T23" s="14"/>
        <tr r="T23" s="14"/>
      </tp>
      <tp t="s">
        <v>#N/A Requesting Data...1933021522</v>
        <stp/>
        <stp>BDP|11597048996458732139</stp>
        <tr r="AH104" s="14"/>
      </tp>
      <tp t="s">
        <v>#N/A N/A</v>
        <stp/>
        <stp>BDP|16694892565541854814</stp>
        <tr r="J19" s="14"/>
        <tr r="J19" s="14"/>
      </tp>
      <tp t="s">
        <v>#N/A Requesting Data...2412336903</v>
        <stp/>
        <stp>BDP|17296799952414293083</stp>
        <tr r="G58" s="14"/>
      </tp>
      <tp t="s">
        <v>#N/A Requesting Data...1583453573</v>
        <stp/>
        <stp>BDP|15093571814614854487</stp>
        <tr r="F27" s="16"/>
      </tp>
      <tp t="s">
        <v>#N/A Requesting Data...2138027791</v>
        <stp/>
        <stp>BDP|10249609027416083366</stp>
        <tr r="AH69" s="14"/>
      </tp>
      <tp t="s">
        <v>#N/A Requesting Data...2107084678</v>
        <stp/>
        <stp>BDP|13399628841036343603</stp>
        <tr r="G98" s="16"/>
      </tp>
      <tp t="s">
        <v>#N/A Requesting Data...2508789171</v>
        <stp/>
        <stp>BDP|14304676471533714717</stp>
        <tr r="AS25" s="14"/>
      </tp>
      <tp t="s">
        <v>#N/A N/A</v>
        <stp/>
        <stp>BDP|17087284914650909571</stp>
        <tr r="F15" s="4"/>
      </tp>
      <tp t="s">
        <v>#N/A Requesting Data...3312153992</v>
        <stp/>
        <stp>BDP|16241726586258689021</stp>
        <tr r="M21" s="1"/>
      </tp>
      <tp t="s">
        <v>#N/A N/A</v>
        <stp/>
        <stp>BDS|10076767873263082243</stp>
        <tr r="AI102" s="14"/>
        <tr r="AI102" s="14"/>
      </tp>
      <tp t="s">
        <v>#N/A Requesting Data...1731654460</v>
        <stp/>
        <stp>BDP|15103967153701254948</stp>
        <tr r="I97" s="14"/>
        <tr r="I97" s="14"/>
      </tp>
      <tp t="s">
        <v>#N/A Requesting Data...3217390070</v>
        <stp/>
        <stp>BDP|11207454056329238814</stp>
        <tr r="AS42" s="14"/>
      </tp>
      <tp t="s">
        <v>#N/A Requesting Data...3237975350</v>
        <stp/>
        <stp>BDP|12414343925761619312</stp>
        <tr r="AL69" s="14"/>
      </tp>
      <tp t="s">
        <v>#N/A Requesting Data...4004385744</v>
        <stp/>
        <stp>BDP|16356904696627452036</stp>
        <tr r="AE46" s="14"/>
      </tp>
      <tp t="s">
        <v>#N/A Requesting Data...4215984228</v>
        <stp/>
        <stp>BDP|15201111260004682702</stp>
        <tr r="K78" s="14"/>
      </tp>
      <tp t="s">
        <v>#N/A N/A</v>
        <stp/>
        <stp>BDP|15130468054735477025</stp>
        <tr r="K46" s="16"/>
        <tr r="K55" s="16"/>
        <tr r="K54" s="16"/>
      </tp>
      <tp t="s">
        <v>#N/A N/A</v>
        <stp/>
        <stp>BDP|14677885191843944730</stp>
        <tr r="T105" s="14"/>
        <tr r="T105" s="14"/>
      </tp>
      <tp t="s">
        <v>#N/A Requesting Data...1920111421</v>
        <stp/>
        <stp>BDP|15018885127406236881</stp>
        <tr r="K79" s="14"/>
      </tp>
      <tp t="s">
        <v>#N/A Requesting Data...2748134777</v>
        <stp/>
        <stp>BDP|11390933340419015447</stp>
        <tr r="AU14" s="14"/>
      </tp>
      <tp t="s">
        <v>#N/A N/A</v>
        <stp/>
        <stp>BDP|17855492975025137015</stp>
        <tr r="T19" s="6"/>
      </tp>
      <tp t="s">
        <v>#N/A N/A</v>
        <stp/>
        <stp>BDP|13666543970254352457</stp>
        <tr r="E24" s="6"/>
      </tp>
      <tp t="s">
        <v>#N/A Requesting Data...3033838689</v>
        <stp/>
        <stp>BDP|13500504615037341149</stp>
        <tr r="AD107" s="14"/>
      </tp>
      <tp t="s">
        <v>#N/A Requesting Data...2061848586</v>
        <stp/>
        <stp>BDP|18144939741582274660</stp>
        <tr r="AK73" s="14"/>
      </tp>
      <tp t="s">
        <v>#N/A Requesting Data...2756134590</v>
        <stp/>
        <stp>BDP|11324414404080388421</stp>
        <tr r="I54" s="14"/>
        <tr r="I54" s="14"/>
      </tp>
      <tp t="s">
        <v>#N/A N/A</v>
        <stp/>
        <stp>BDP|13584265267697179120</stp>
        <tr r="AA19" s="1"/>
      </tp>
      <tp t="s">
        <v>#N/A Requesting Data...3081840532</v>
        <stp/>
        <stp>BDP|16560114041890508276</stp>
        <tr r="AB70" s="14"/>
        <tr r="AB70" s="14"/>
      </tp>
      <tp t="s">
        <v>#N/A Requesting Data...2512690608</v>
        <stp/>
        <stp>BDP|11437843087101416143</stp>
        <tr r="AO95" s="14"/>
        <tr r="AO95" s="14"/>
      </tp>
      <tp t="s">
        <v>#N/A Requesting Data...2085662621</v>
        <stp/>
        <stp>BDP|12770702961470545247</stp>
        <tr r="G11" s="14"/>
      </tp>
      <tp t="s">
        <v>#N/A Requesting Data...1665331512</v>
        <stp/>
        <stp>BDP|14002465731257685569</stp>
        <tr r="G44" s="16"/>
      </tp>
      <tp t="s">
        <v>#N/A Requesting Data...3679289974</v>
        <stp/>
        <stp>BDP|14741989162383203997</stp>
        <tr r="AF45" s="14"/>
      </tp>
      <tp t="s">
        <v>#N/A Requesting Data...3416879999</v>
        <stp/>
        <stp>BDP|15652162071483255154</stp>
        <tr r="C94" s="14"/>
      </tp>
      <tp t="s">
        <v>#N/A N/A</v>
        <stp/>
        <stp>BDP|14604781189698926287</stp>
        <tr r="M13" s="1"/>
      </tp>
      <tp t="s">
        <v>#N/A Requesting Data...2504107300</v>
        <stp/>
        <stp>BDP|18424166225498591248</stp>
        <tr r="AF99" s="14"/>
      </tp>
      <tp t="s">
        <v>#N/A Requesting Data...2918187045</v>
        <stp/>
        <stp>BDP|13434015172070649573</stp>
        <tr r="F100" s="16"/>
      </tp>
      <tp t="s">
        <v>#N/A Requesting Data...2803857695</v>
        <stp/>
        <stp>BDP|17049212140606049673</stp>
        <tr r="I28" s="14"/>
      </tp>
      <tp t="s">
        <v>#N/A N/A</v>
        <stp/>
        <stp>BDP|12461678145857465646</stp>
        <tr r="G22" s="1"/>
      </tp>
      <tp t="s">
        <v>#N/A N/A</v>
        <stp/>
        <stp>BDH|16280460070900395469</stp>
        <tr r="Y20" s="6"/>
      </tp>
      <tp t="s">
        <v>#N/A N/A</v>
        <stp/>
        <stp>BADDPERIODS|14862662704967740018</stp>
        <tr r="AH99" s="14"/>
      </tp>
      <tp t="s">
        <v>#N/A N/A</v>
        <stp/>
        <stp>BDH|10452795498327029856</stp>
        <tr r="AE60" s="14"/>
      </tp>
      <tp t="s">
        <v>#N/A N/A</v>
        <stp/>
        <stp>BDH|16378524065105496155</stp>
        <tr r="AN11" s="1"/>
      </tp>
      <tp t="s">
        <v>#N/A N/A</v>
        <stp/>
        <stp>BDH|15057339075648552862</stp>
        <tr r="AE35" s="14"/>
      </tp>
      <tp t="s">
        <v>#N/A N/A</v>
        <stp/>
        <stp>BDH|10143139606588683860</stp>
        <tr r="AE57" s="14"/>
      </tp>
      <tp t="s">
        <v>#N/A N/A</v>
        <stp/>
        <stp>BDH|13616654529490599671</stp>
        <tr r="AE72" s="14"/>
      </tp>
      <tp t="s">
        <v>#N/A N/A</v>
        <stp/>
        <stp>BDH|10556983285029760941</stp>
        <tr r="AE17" s="14"/>
      </tp>
      <tp t="s">
        <v>#N/A N/A</v>
        <stp/>
        <stp>BADDPERIODS|17734619367780360222</stp>
        <tr r="AH74" s="14"/>
      </tp>
      <tp t="s">
        <v>#N/A N/A</v>
        <stp/>
        <stp>BDH|12253509049443028150</stp>
        <tr r="AE43" s="14"/>
      </tp>
      <tp t="s">
        <v>#N/A N/A</v>
        <stp/>
        <stp>BDH|11450179030743970140</stp>
        <tr r="AN14" s="1"/>
      </tp>
      <tp t="s">
        <v>#N/A N/A</v>
        <stp/>
        <stp>BADDPERIODS|18062856968226634584</stp>
        <tr r="AH29" s="14"/>
      </tp>
    </main>
    <main first="bofaddin.rtdserver">
      <tp t="s">
        <v>#N/A N/A</v>
        <stp/>
        <stp>BDP|15128122033377190682</stp>
        <tr r="T17" s="6"/>
      </tp>
      <tp t="s">
        <v>#N/A N/A</v>
        <stp/>
        <stp>BDP|10235803627585903957</stp>
        <tr r="Q96" s="14"/>
        <tr r="Q96" s="14"/>
      </tp>
      <tp t="s">
        <v>#N/A N/A</v>
        <stp/>
        <stp>BDP|13223255940266850565</stp>
        <tr r="G17" s="1"/>
      </tp>
      <tp t="s">
        <v>#N/A Requesting Data...2663390347</v>
        <stp/>
        <stp>BDP|13387689687833049859</stp>
        <tr r="AH16" s="14"/>
      </tp>
      <tp t="s">
        <v>#N/A N/A</v>
        <stp/>
        <stp>BDP|10892688709537295729</stp>
        <tr r="I21" s="6"/>
      </tp>
      <tp t="s">
        <v>#N/A Requesting Data...1770275880</v>
        <stp/>
        <stp>BDP|11143820389227746058</stp>
        <tr r="I44" s="14"/>
      </tp>
      <tp t="s">
        <v>#N/A N/A</v>
        <stp/>
        <stp>BDP|15214422578840842085</stp>
        <tr r="N12" s="6"/>
      </tp>
      <tp t="s">
        <v>#N/A Requesting Data...2701815792</v>
        <stp/>
        <stp>BDP|16455116148292491711</stp>
        <tr r="G47" s="16"/>
      </tp>
      <tp t="s">
        <v>#N/A Requesting Data...2896717912</v>
        <stp/>
        <stp>BDP|11298494869353393699</stp>
        <tr r="AK109" s="14"/>
      </tp>
      <tp t="s">
        <v>#N/A Requesting Data...3413275679</v>
        <stp/>
        <stp>BDP|13291364520417879343</stp>
        <tr r="H35" s="16"/>
        <tr r="H35" s="16"/>
        <tr r="F37" s="14"/>
        <tr r="F37" s="14"/>
      </tp>
      <tp t="s">
        <v>#N/A Requesting Data...1554369730</v>
        <stp/>
        <stp>BDP|11539201301753918659</stp>
        <tr r="AB98" s="14"/>
        <tr r="AB98" s="14"/>
      </tp>
      <tp t="s">
        <v>#N/A N/A</v>
        <stp/>
        <stp>BDP|15878184775227532283</stp>
        <tr r="D13" s="1"/>
      </tp>
      <tp t="s">
        <v>#N/A Requesting Data...3494194754</v>
        <stp/>
        <stp>BDP|16474420689374547820</stp>
        <tr r="AM13" s="14"/>
      </tp>
      <tp t="s">
        <v>#N/A Requesting Data...1762527303</v>
        <stp/>
        <stp>BDP|18336794012168345009</stp>
        <tr r="AS37" s="14"/>
      </tp>
      <tp t="s">
        <v>#N/A Requesting Data...4001301812</v>
        <stp/>
        <stp>BDP|16835060114614453559</stp>
        <tr r="AE55" s="14"/>
      </tp>
      <tp t="s">
        <v>#N/A Requesting Data...2593723831</v>
        <stp/>
        <stp>BDP|17990436568631958200</stp>
        <tr r="AT106" s="14"/>
      </tp>
      <tp t="s">
        <v>#N/A N/A</v>
        <stp/>
        <stp>BDP|13926089516120432485</stp>
        <tr r="J15" s="16"/>
        <tr r="J44" s="16"/>
        <tr r="J47" s="16"/>
      </tp>
      <tp t="s">
        <v>#N/A Requesting Data...3421251418</v>
        <stp/>
        <stp>BDP|16578427506092976634</stp>
        <tr r="AP64" s="14"/>
      </tp>
      <tp t="s">
        <v>#N/A Requesting Data...3443509888</v>
        <stp/>
        <stp>BDP|17161951477406832901</stp>
        <tr r="AM72" s="14"/>
      </tp>
      <tp t="s">
        <v>#N/A N/A</v>
        <stp/>
        <stp>BDP|17336086602903411269</stp>
        <tr r="D16" s="1"/>
      </tp>
      <tp t="s">
        <v>#N/A Requesting Data...2606631866</v>
        <stp/>
        <stp>BDP|11633562963623884717</stp>
        <tr r="AK103" s="14"/>
      </tp>
      <tp t="s">
        <v>#N/A Requesting Data...3888293023</v>
        <stp/>
        <stp>BDP|12834965827809346605</stp>
        <tr r="AS69" s="14"/>
      </tp>
      <tp t="s">
        <v>#N/A Requesting Data...4048958060</v>
        <stp/>
        <stp>BDP|13721195212443198677</stp>
        <tr r="AK81" s="14"/>
      </tp>
      <tp t="s">
        <v>#N/A Requesting Data...3013660716</v>
        <stp/>
        <stp>BDP|14740681661981169357</stp>
        <tr r="I49" s="14"/>
      </tp>
      <tp t="s">
        <v>#N/A N/A</v>
        <stp/>
        <stp>BDP|15820834591185121719</stp>
        <tr r="V25" s="6"/>
      </tp>
      <tp t="s">
        <v>#N/A Requesting Data...2058593207</v>
        <stp/>
        <stp>BDP|13293499186928416134</stp>
        <tr r="AT68" s="14"/>
      </tp>
      <tp t="s">
        <v>#N/A Requesting Data...1951602273</v>
        <stp/>
        <stp>BDP|14131506948703085039</stp>
        <tr r="V69" s="14"/>
      </tp>
      <tp t="s">
        <v>#N/A Requesting Data...3513158070</v>
        <stp/>
        <stp>BDP|15849143043527343165</stp>
        <tr r="AE62" s="14"/>
      </tp>
      <tp t="s">
        <v>#N/A Requesting Data...2326636011</v>
        <stp/>
        <stp>BDP|13080734101635894702</stp>
        <tr r="K33" s="14"/>
      </tp>
      <tp t="s">
        <v>#N/A Requesting Data...2037583205</v>
        <stp/>
        <stp>BDP|10195023043905847727</stp>
        <tr r="C16" s="12"/>
      </tp>
      <tp t="s">
        <v>#N/A Requesting Data...1606332184</v>
        <stp/>
        <stp>BDP|11153142618180777707</stp>
        <tr r="AP98" s="14"/>
      </tp>
      <tp t="s">
        <v>#N/A Requesting Data...3003540413</v>
        <stp/>
        <stp>BDP|17114587247111084149</stp>
        <tr r="AT44" s="14"/>
      </tp>
      <tp t="s">
        <v>#N/A Requesting Data...3549305396</v>
        <stp/>
        <stp>BDP|11408711529695427721</stp>
        <tr r="E61" s="14"/>
        <tr r="D59" s="16"/>
      </tp>
      <tp t="s">
        <v>#N/A Requesting Data...2369480110</v>
        <stp/>
        <stp>BDP|11684757242046453282</stp>
        <tr r="AN42" s="14"/>
      </tp>
      <tp t="s">
        <v>#N/A Requesting Data...3517333040</v>
        <stp/>
        <stp>BDP|13092730077217812212</stp>
        <tr r="AQ103" s="14"/>
      </tp>
      <tp t="s">
        <v>#N/A Requesting Data...4062783466</v>
        <stp/>
        <stp>BDP|14130158523527225684</stp>
        <tr r="AP89" s="14"/>
      </tp>
      <tp t="s">
        <v>#N/A N/A</v>
        <stp/>
        <stp>BDP|17378353236889916843</stp>
        <tr r="T68" s="14"/>
        <tr r="T68" s="14"/>
      </tp>
      <tp t="s">
        <v>#N/A Requesting Data...2138822835</v>
        <stp/>
        <stp>BDP|15982149652186088124</stp>
        <tr r="AB21" s="14"/>
        <tr r="AB21" s="14"/>
      </tp>
      <tp t="s">
        <v>#N/A N/A</v>
        <stp/>
        <stp>BDP|11505843850249441384</stp>
        <tr r="G25" s="6"/>
      </tp>
      <tp t="s">
        <v>#N/A Requesting Data...2592977129</v>
        <stp/>
        <stp>BDP|11540264384445348890</stp>
        <tr r="AH20" s="14"/>
      </tp>
      <tp t="s">
        <v>#N/A Requesting Data...3591547348</v>
        <stp/>
        <stp>BDP|10667760410606855655</stp>
        <tr r="AJ22" s="1"/>
      </tp>
      <tp t="s">
        <v>#N/A Requesting Data...1816402486</v>
        <stp/>
        <stp>BDP|10343598762532597705</stp>
        <tr r="D86" s="16"/>
        <tr r="E88" s="14"/>
      </tp>
      <tp t="s">
        <v>#N/A N/A</v>
        <stp/>
        <stp>BDP|13103552661545859319</stp>
        <tr r="D14" s="4"/>
      </tp>
      <tp t="s">
        <v>#N/A Requesting Data...3920930262</v>
        <stp/>
        <stp>BDP|10452594340163694472</stp>
        <tr r="AH43" s="14"/>
      </tp>
      <tp t="s">
        <v>#N/A Requesting Data...2273822633</v>
        <stp/>
        <stp>BDP|16823230281339580330</stp>
        <tr r="AL67" s="14"/>
      </tp>
      <tp t="s">
        <v>#N/A N/A</v>
        <stp/>
        <stp>BDP|15696117819975310618</stp>
        <tr r="AB12" s="4"/>
      </tp>
      <tp t="s">
        <v>#N/A Requesting Data...3790355444</v>
        <stp/>
        <stp>BDP|11997013240511503211</stp>
        <tr r="AH97" s="14"/>
      </tp>
      <tp t="s">
        <v>#N/A N/A</v>
        <stp/>
        <stp>BDS|12027258085267721987</stp>
        <tr r="AI13" s="14"/>
        <tr r="AI13" s="14"/>
      </tp>
      <tp t="s">
        <v>#N/A Requesting Data...1863805009</v>
        <stp/>
        <stp>BDP|17520020491198800021</stp>
        <tr r="AT24" s="14"/>
      </tp>
      <tp t="s">
        <v>#N/A N/A</v>
        <stp/>
        <stp>BDP|10002665608179516977</stp>
        <tr r="I36" s="16"/>
        <tr r="I43" s="16"/>
      </tp>
      <tp t="s">
        <v>#N/A Requesting Data...1942089740</v>
        <stp/>
        <stp>BDP|15469311428387325524</stp>
        <tr r="AN26" s="14"/>
      </tp>
      <tp t="s">
        <v>#N/A Requesting Data...2699096986</v>
        <stp/>
        <stp>BDP|17567264869446543333</stp>
        <tr r="AT57" s="14"/>
      </tp>
      <tp t="s">
        <v>#N/A Requesting Data...1527168676</v>
        <stp/>
        <stp>BDP|17374664945387531497</stp>
        <tr r="AP93" s="14"/>
      </tp>
      <tp t="s">
        <v>#N/A N/A</v>
        <stp/>
        <stp>BDP|18120889770317505632</stp>
        <tr r="T22" s="7"/>
      </tp>
      <tp t="s">
        <v>#N/A Requesting Data...3064669265</v>
        <stp/>
        <stp>BDP|11088795164055645347</stp>
        <tr r="AO11" s="14"/>
        <tr r="AO11" s="14"/>
      </tp>
      <tp t="s">
        <v>#N/A N/A</v>
        <stp/>
        <stp>BDP|11714008269571810093</stp>
        <tr r="AH62" s="14"/>
        <tr r="AH62" s="14"/>
      </tp>
      <tp t="s">
        <v>#N/A N/A</v>
        <stp/>
        <stp>BDP|14420019563020058498</stp>
        <tr r="K28" s="16"/>
        <tr r="K27" s="16"/>
      </tp>
      <tp t="s">
        <v>#N/A Requesting Data...2251826172</v>
        <stp/>
        <stp>BDP|17606423734284642293</stp>
        <tr r="AE20" s="14"/>
      </tp>
      <tp t="s">
        <v>#N/A Requesting Data...3136363425</v>
        <stp/>
        <stp>BDP|17882563205872152650</stp>
        <tr r="AU67" s="14"/>
      </tp>
      <tp t="s">
        <v>#N/A Requesting Data...3088825370</v>
        <stp/>
        <stp>BDP|13038894181492211757</stp>
        <tr r="AK58" s="14"/>
      </tp>
      <tp t="s">
        <v>#N/A Requesting Data...2489442330</v>
        <stp/>
        <stp>BDP|12485882316794212978</stp>
        <tr r="G55" s="16"/>
      </tp>
      <tp t="s">
        <v>#N/A Requesting Data...2272769336</v>
        <stp/>
        <stp>BDP|18311574449438529777</stp>
        <tr r="K62" s="14"/>
      </tp>
      <tp t="s">
        <v>#N/A N/A</v>
        <stp/>
        <stp>BDP|11599583175833709606</stp>
        <tr r="AK16" s="1"/>
      </tp>
      <tp t="s">
        <v>#N/A Requesting Data...3928538029</v>
        <stp/>
        <stp>BDP|17453920202678968037</stp>
        <tr r="C105" s="16"/>
        <tr r="D107" s="14"/>
      </tp>
      <tp t="s">
        <v>#N/A Requesting Data...3428796975</v>
        <stp/>
        <stp>BDP|12862646814192679104</stp>
        <tr r="AS46" s="14"/>
      </tp>
      <tp t="s">
        <v>#N/A Requesting Data...3400865596</v>
        <stp/>
        <stp>BDP|13861637710784274676</stp>
        <tr r="AU66" s="14"/>
      </tp>
      <tp t="s">
        <v>#N/A Requesting Data...2905932877</v>
        <stp/>
        <stp>BDP|18038709689525581421</stp>
        <tr r="AH18" s="14"/>
      </tp>
      <tp t="s">
        <v>#N/A Requesting Data...2530540510</v>
        <stp/>
        <stp>BDP|17728440919044805039</stp>
        <tr r="G97" s="14"/>
      </tp>
      <tp t="s">
        <v>#N/A N/A</v>
        <stp/>
        <stp>BDP|14562272754326589325</stp>
        <tr r="AH76" s="14"/>
        <tr r="AH76" s="14"/>
      </tp>
      <tp t="s">
        <v>#N/A N/A</v>
        <stp/>
        <stp>BDP|16894467014757302280</stp>
        <tr r="K35" s="16"/>
      </tp>
      <tp t="s">
        <v>#N/A Requesting Data...2872573438</v>
        <stp/>
        <stp>BDP|16400740636234079076</stp>
        <tr r="AO13" s="14"/>
        <tr r="AO13" s="14"/>
      </tp>
      <tp t="s">
        <v>#N/A Requesting Data...2501818091</v>
        <stp/>
        <stp>BDP|17128534717732031745</stp>
        <tr r="C41" s="14"/>
      </tp>
      <tp t="s">
        <v>#N/A Requesting Data...1896880430</v>
        <stp/>
        <stp>BDP|13824682927975793417</stp>
        <tr r="AT13" s="14"/>
      </tp>
      <tp t="s">
        <v>#N/A Requesting Data...2065655127</v>
        <stp/>
        <stp>BDP|12052090344834924458</stp>
        <tr r="I10" s="12"/>
      </tp>
      <tp t="s">
        <v>#N/A Requesting Data...3729804708</v>
        <stp/>
        <stp>BDP|16082941287868274901</stp>
        <tr r="AL109" s="14"/>
      </tp>
      <tp t="s">
        <v>#N/A Requesting Data...2895829472</v>
        <stp/>
        <stp>BDP|18136890649283273120</stp>
        <tr r="AB82" s="14"/>
        <tr r="AB82" s="14"/>
      </tp>
      <tp t="s">
        <v>#N/A Requesting Data...3414742990</v>
        <stp/>
        <stp>BDP|10513065476657234667</stp>
        <tr r="K11" s="5"/>
      </tp>
      <tp t="s">
        <v>#N/A Requesting Data...2881977228</v>
        <stp/>
        <stp>BDP|16616122339427960555</stp>
        <tr r="D15" s="1"/>
      </tp>
      <tp t="s">
        <v>#N/A Requesting Data...4005727426</v>
        <stp/>
        <stp>BDP|13512740362253434764</stp>
        <tr r="G22" s="14"/>
      </tp>
      <tp t="s">
        <v>#N/A Requesting Data...4147030939</v>
        <stp/>
        <stp>BDP|11181048292198639619</stp>
        <tr r="K22" s="14"/>
      </tp>
      <tp t="s">
        <v>#N/A N/A</v>
        <stp/>
        <stp>BDP|15393161924012758265</stp>
        <tr r="AH97" s="14"/>
        <tr r="AH97" s="14"/>
      </tp>
      <tp t="s">
        <v>#N/A N/A</v>
        <stp/>
        <stp>BDP|18436435960978203450</stp>
        <tr r="D26" s="6"/>
      </tp>
      <tp t="s">
        <v>#N/A Requesting Data...3677615001</v>
        <stp/>
        <stp>BDP|12497430523212605026</stp>
        <tr r="C15" s="14"/>
      </tp>
      <tp t="s">
        <v>#N/A Requesting Data...1561055065</v>
        <stp/>
        <stp>BDP|10601238106055130127</stp>
        <tr r="AR37" s="14"/>
      </tp>
      <tp t="s">
        <v>#N/A Requesting Data...2379306815</v>
        <stp/>
        <stp>BDP|15266731622604205212</stp>
        <tr r="E40" s="16"/>
      </tp>
      <tp t="s">
        <v>#N/A N/A</v>
        <stp/>
        <stp>BDP|11551797339155558604</stp>
        <tr r="D20" s="6"/>
      </tp>
      <tp t="s">
        <v>#N/A N/A</v>
        <stp/>
        <stp>BDP|11056356291284309973</stp>
        <tr r="J91" s="16"/>
      </tp>
      <tp t="s">
        <v>#N/A Requesting Data...2750442773</v>
        <stp/>
        <stp>BDP|13464526128913681181</stp>
        <tr r="D91" s="16"/>
        <tr r="E93" s="14"/>
      </tp>
      <tp t="s">
        <v>#N/A Requesting Data...2867505788</v>
        <stp/>
        <stp>BDP|15596161155371594635</stp>
        <tr r="K50" s="14"/>
      </tp>
      <tp t="s">
        <v>#N/A Requesting Data...3821065336</v>
        <stp/>
        <stp>BDP|13776873486831661433</stp>
        <tr r="AE81" s="14"/>
      </tp>
      <tp t="s">
        <v>#N/A Requesting Data...1769462407</v>
        <stp/>
        <stp>BDP|15920271138154171646</stp>
        <tr r="AU108" s="14"/>
      </tp>
      <tp t="s">
        <v>#N/A N/A</v>
        <stp/>
        <stp>BDP|14325376152612335660</stp>
        <tr r="I12" s="6"/>
      </tp>
      <tp t="s">
        <v>#N/A N/A</v>
        <stp/>
        <stp>BDP|17248534947878001858</stp>
        <tr r="AA15" s="4"/>
      </tp>
      <tp t="s">
        <v>#N/A N/A</v>
        <stp/>
        <stp>BDP|13487518636346972593</stp>
        <tr r="N24" s="7"/>
      </tp>
      <tp t="s">
        <v>#N/A Requesting Data...2689391527</v>
        <stp/>
        <stp>BDP|11380482819561229339</stp>
        <tr r="AO58" s="14"/>
        <tr r="AO58" s="14"/>
      </tp>
      <tp t="s">
        <v>#N/A Requesting Data...2604357759</v>
        <stp/>
        <stp>BDP|15389566327766976294</stp>
        <tr r="C43" s="16"/>
        <tr r="D45" s="14"/>
      </tp>
      <tp t="s">
        <v>#N/A Requesting Data...3753490407</v>
        <stp/>
        <stp>BDP|18245727782613091205</stp>
        <tr r="F89" s="14"/>
        <tr r="F89" s="14"/>
        <tr r="H87" s="16"/>
        <tr r="H87" s="16"/>
      </tp>
      <tp t="s">
        <v>#N/A N/A</v>
        <stp/>
        <stp>BDP|17439031502516373748</stp>
        <tr r="J16" s="1"/>
      </tp>
      <tp t="s">
        <v>#N/A Requesting Data...2027405965</v>
        <stp/>
        <stp>BDP|16878455373320554399</stp>
        <tr r="AE106" s="14"/>
      </tp>
      <tp t="s">
        <v>#N/A N/A</v>
        <stp/>
        <stp>BDP|15031337411910314130</stp>
        <tr r="R13" s="1"/>
      </tp>
      <tp t="s">
        <v>#N/A Requesting Data...2477559838</v>
        <stp/>
        <stp>BDP|10453243783188227436</stp>
        <tr r="AQ12" s="14"/>
      </tp>
      <tp t="s">
        <v>#N/A Requesting Data...3826439613</v>
        <stp/>
        <stp>BDP|14056219407802673222</stp>
        <tr r="F51" s="16"/>
      </tp>
      <tp t="s">
        <v>#N/A Requesting Data...1645802096</v>
        <stp/>
        <stp>BDP|18073638821269392334</stp>
        <tr r="K66" s="14"/>
      </tp>
      <tp t="s">
        <v>#N/A N/A</v>
        <stp/>
        <stp>BDP|10535061342330204211</stp>
        <tr r="J38" s="16"/>
      </tp>
      <tp t="s">
        <v>#N/A Requesting Data...3084634431</v>
        <stp/>
        <stp>BDP|12394489717090665181</stp>
        <tr r="I34" s="14"/>
        <tr r="I34" s="14"/>
      </tp>
      <tp t="s">
        <v>#N/A Requesting Data...3181188996</v>
        <stp/>
        <stp>BDP|10688649965504105243</stp>
        <tr r="C19" s="16"/>
        <tr r="D21" s="14"/>
      </tp>
      <tp t="s">
        <v>#N/A Requesting Data...2419450565</v>
        <stp/>
        <stp>BDP|17079224992578518273</stp>
        <tr r="D11" s="14"/>
        <tr r="C9" s="16"/>
      </tp>
      <tp t="s">
        <v>#N/A N/A</v>
        <stp/>
        <stp>BDP|14824686594164897996</stp>
        <tr r="I12" s="1"/>
      </tp>
      <tp t="s">
        <v>#N/A N/A</v>
        <stp/>
        <stp>BDP|17734174672905679214</stp>
        <tr r="AH89" s="14"/>
        <tr r="AH89" s="14"/>
      </tp>
      <tp t="s">
        <v>#N/A Requesting Data...3521638489</v>
        <stp/>
        <stp>BDP|17825285450060190643</stp>
        <tr r="H44" s="14"/>
      </tp>
      <tp t="s">
        <v>#N/A N/A</v>
        <stp/>
        <stp>BDP|12695224254923696031</stp>
        <tr r="J31" s="14"/>
        <tr r="J31" s="14"/>
      </tp>
      <tp t="s">
        <v>#N/A Requesting Data...1762503019</v>
        <stp/>
        <stp>BDP|10620601880140557864</stp>
        <tr r="K30" s="14"/>
      </tp>
      <tp t="s">
        <v>#N/A Requesting Data...3088376734</v>
        <stp/>
        <stp>BDP|15374754352451649074</stp>
        <tr r="AM30" s="14"/>
      </tp>
      <tp t="s">
        <v>#N/A Requesting Data...1638539678</v>
        <stp/>
        <stp>BDP|14073368836683773129</stp>
        <tr r="AN109" s="14"/>
      </tp>
      <tp t="s">
        <v>#N/A Requesting Data...2619093581</v>
        <stp/>
        <stp>BDP|14255308720770449338</stp>
        <tr r="C91" s="14"/>
        <tr r="C90" s="14"/>
      </tp>
      <tp t="s">
        <v>#N/A N/A</v>
        <stp/>
        <stp>BDP|13725393697169522694</stp>
        <tr r="U16" s="7"/>
      </tp>
      <tp t="s">
        <v>#N/A Requesting Data...4180686956</v>
        <stp/>
        <stp>BDP|14510513904610767726</stp>
        <tr r="AR88" s="14"/>
      </tp>
      <tp t="s">
        <v>#N/A Requesting Data...3830822985</v>
        <stp/>
        <stp>BDP|12800508907350886127</stp>
        <tr r="I68" s="14"/>
      </tp>
      <tp t="s">
        <v>#N/A N/A</v>
        <stp/>
        <stp>BDP|10114099416735906235</stp>
        <tr r="J48" s="16"/>
        <tr r="J50" s="16"/>
        <tr r="J51" s="16"/>
        <tr r="J70" s="16"/>
        <tr r="J72" s="16"/>
      </tp>
      <tp t="s">
        <v>#N/A N/A</v>
        <stp/>
        <stp>BDP|13460101369685198782</stp>
        <tr r="H12" s="1"/>
      </tp>
      <tp t="s">
        <v>#N/A N/A</v>
        <stp/>
        <stp>BDP|13871529549457036370</stp>
        <tr r="H23" s="1"/>
      </tp>
      <tp t="s">
        <v>#N/A Requesting Data...3082304409</v>
        <stp/>
        <stp>BDP|16748306379207995338</stp>
        <tr r="E23" s="16"/>
      </tp>
      <tp t="s">
        <v>#N/A N/A</v>
        <stp/>
        <stp>BDP|14863457160184965406</stp>
        <tr r="AB13" s="4"/>
      </tp>
      <tp t="s">
        <v>#N/A N/A</v>
        <stp/>
        <stp>BDP|15838260282371961811</stp>
        <tr r="J68" s="14"/>
        <tr r="J68" s="14"/>
      </tp>
      <tp t="s">
        <v>#N/A Requesting Data...2948231936</v>
        <stp/>
        <stp>BDP|17593539660135027727</stp>
        <tr r="AH100" s="14"/>
      </tp>
      <tp t="s">
        <v>#N/A Requesting Data...1827487620</v>
        <stp/>
        <stp>BDP|11240168167723137353</stp>
        <tr r="AQ67" s="14"/>
      </tp>
      <tp t="s">
        <v>#N/A Requesting Data...3075887378</v>
        <stp/>
        <stp>BDP|11111329767704453670</stp>
        <tr r="E18" s="1"/>
      </tp>
      <tp t="s">
        <v>#N/A N/A</v>
        <stp/>
        <stp>BDP|14101383122414895744</stp>
        <tr r="T103" s="14"/>
        <tr r="T103" s="14"/>
      </tp>
      <tp t="s">
        <v>#N/A Requesting Data...3563224012</v>
        <stp/>
        <stp>BDP|14421480164087982762</stp>
        <tr r="I35" s="14"/>
        <tr r="I35" s="14"/>
      </tp>
      <tp t="s">
        <v>#N/A N/A</v>
        <stp/>
        <stp>BDP|12709596005339481883</stp>
        <tr r="V17" s="6"/>
      </tp>
      <tp t="s">
        <v>#N/A Requesting Data...2555330455</v>
        <stp/>
        <stp>BDP|17614708464338171843</stp>
        <tr r="I79" s="14"/>
      </tp>
      <tp t="s">
        <v>#N/A N/A</v>
        <stp/>
        <stp>BDP|13013622370563482712</stp>
        <tr r="T14" s="6"/>
      </tp>
      <tp t="s">
        <v>#N/A Requesting Data...4005472932</v>
        <stp/>
        <stp>BDP|16496847525438222204</stp>
        <tr r="AO77" s="14"/>
        <tr r="AO77" s="14"/>
      </tp>
      <tp t="s">
        <v>#N/A Requesting Data...1856257934</v>
        <stp/>
        <stp>BDP|11009321476673219017</stp>
        <tr r="M20" s="1"/>
      </tp>
      <tp t="s">
        <v>#N/A Requesting Data...3314276771</v>
        <stp/>
        <stp>BDP|14327045842102451467</stp>
        <tr r="E36" s="16"/>
      </tp>
      <tp t="s">
        <v>#N/A Requesting Data...2508303366</v>
        <stp/>
        <stp>BDP|17644974905948677044</stp>
        <tr r="AD102" s="14"/>
      </tp>
      <tp t="s">
        <v>#N/A Requesting Data...2084169071</v>
        <stp/>
        <stp>BDP|17831595834852060537</stp>
        <tr r="C23" s="14"/>
      </tp>
      <tp t="s">
        <v>#N/A N/A</v>
        <stp/>
        <stp>BDP|11702267899219717596</stp>
        <tr r="AH52" s="14"/>
        <tr r="AH52" s="14"/>
      </tp>
      <tp t="s">
        <v>#N/A Requesting Data...2256826628</v>
        <stp/>
        <stp>BDP|10621795948055387029</stp>
        <tr r="C52" s="16"/>
        <tr r="D54" s="14"/>
      </tp>
      <tp t="s">
        <v>#N/A Requesting Data...2633012951</v>
        <stp/>
        <stp>BDP|12787477302075238568</stp>
        <tr r="AD36" s="14"/>
      </tp>
      <tp t="s">
        <v>#N/A Requesting Data...1617436452</v>
        <stp/>
        <stp>BDP|11730070413511164744</stp>
        <tr r="AR99" s="14"/>
      </tp>
      <tp t="s">
        <v>#N/A N/A</v>
        <stp/>
        <stp>BDH|15542723533284259350</stp>
        <tr r="AE29" s="14"/>
      </tp>
      <tp t="s">
        <v>#N/A N/A</v>
        <stp/>
        <stp>BDH|17849385292603548801</stp>
        <tr r="AI79" s="14"/>
      </tp>
      <tp t="s">
        <v>#N/A N/A</v>
        <stp/>
        <stp>BDH|15854500808492177498</stp>
        <tr r="AE102" s="14"/>
      </tp>
      <tp t="s">
        <v>#N/A N/A</v>
        <stp/>
        <stp>BDH|16683518353806874674</stp>
        <tr r="Y26" s="6"/>
      </tp>
      <tp t="s">
        <v>#N/A N/A</v>
        <stp/>
        <stp>BADDPERIODS|14645467133876732744</stp>
        <tr r="AH79" s="14"/>
      </tp>
      <tp t="s">
        <v>#N/A N/A</v>
        <stp/>
        <stp>BDH|14153691803266596220</stp>
        <tr r="AE73" s="14"/>
      </tp>
      <tp t="s">
        <v>#N/A N/A</v>
        <stp/>
        <stp>BDH|17163976713570829923</stp>
        <tr r="X11" s="7"/>
      </tp>
      <tp t="s">
        <v>#N/A N/A</v>
        <stp/>
        <stp>BDH|16597382647553688425</stp>
        <tr r="AI74" s="14"/>
        <tr r="AI72" s="14"/>
      </tp>
      <tp t="s">
        <v>#N/A N/A</v>
        <stp/>
        <stp>BDP|12892830328727950831</stp>
        <tr r="U18" s="1"/>
      </tp>
      <tp t="s">
        <v>#N/A Requesting Data...3092920974</v>
        <stp/>
        <stp>BDP|10042039418781374714</stp>
        <tr r="G11" s="16"/>
      </tp>
      <tp t="s">
        <v>#N/A Requesting Data...3508158261</v>
        <stp/>
        <stp>BDP|13889472344217313317</stp>
        <tr r="AF70" s="14"/>
      </tp>
      <tp t="s">
        <v>#N/A Requesting Data...2235235822</v>
        <stp/>
        <stp>BDP|10970401901462455159</stp>
        <tr r="AD70" s="14"/>
      </tp>
      <tp t="s">
        <v>#N/A Requesting Data...2814021603</v>
        <stp/>
        <stp>BDP|17816848463517396954</stp>
        <tr r="AT66" s="14"/>
      </tp>
      <tp t="s">
        <v>#N/A Requesting Data...3366206587</v>
        <stp/>
        <stp>BDP|16893853792054006470</stp>
        <tr r="AP44" s="14"/>
      </tp>
      <tp t="s">
        <v>#N/A N/A</v>
        <stp/>
        <stp>BDP|13500374724940713596</stp>
        <tr r="K16" s="1"/>
      </tp>
      <tp t="s">
        <v>#N/A Requesting Data...3026583857</v>
        <stp/>
        <stp>BDP|12224069995638800414</stp>
        <tr r="AL39" s="14"/>
      </tp>
      <tp t="s">
        <v>#N/A N/A</v>
        <stp/>
        <stp>BDP|16314846810599732189</stp>
        <tr r="I31" s="16"/>
        <tr r="I52" s="16"/>
        <tr r="I53" s="16"/>
        <tr r="I90" s="16"/>
      </tp>
      <tp t="s">
        <v>#N/A Requesting Data...1811969811</v>
        <stp/>
        <stp>BDP|17510691616923531474</stp>
        <tr r="AU30" s="14"/>
      </tp>
      <tp t="s">
        <v>#N/A N/A</v>
        <stp/>
        <stp>BDP|11880341375332746062</stp>
        <tr r="AH50" s="14"/>
        <tr r="AH50" s="14"/>
      </tp>
      <tp t="s">
        <v>#N/A N/A</v>
        <stp/>
        <stp>BDP|17323760975321182199</stp>
        <tr r="J56" s="16"/>
      </tp>
      <tp t="s">
        <v>#N/A Requesting Data...3191165627</v>
        <stp/>
        <stp>BDP|17359197600691232001</stp>
        <tr r="D25" s="14"/>
        <tr r="C23" s="16"/>
      </tp>
      <tp t="s">
        <v>#N/A Requesting Data...2410436966</v>
        <stp/>
        <stp>BDP|15611781279040803275</stp>
        <tr r="E70" s="16"/>
      </tp>
      <tp t="s">
        <v>#N/A Requesting Data...1807149529</v>
        <stp/>
        <stp>BDP|15297752798709678520</stp>
        <tr r="AB97" s="14"/>
        <tr r="AB97" s="14"/>
      </tp>
      <tp t="s">
        <v>#N/A Requesting Data...2770583651</v>
        <stp/>
        <stp>BDP|11781523327204948500</stp>
        <tr r="J11" s="1"/>
      </tp>
      <tp t="s">
        <v>#N/A Requesting Data...2839359038</v>
        <stp/>
        <stp>BDP|11076886278138369185</stp>
        <tr r="G100" s="14"/>
      </tp>
      <tp t="s">
        <v>#N/A Requesting Data...2103427843</v>
        <stp/>
        <stp>BDP|15826547040176367541</stp>
        <tr r="AK38" s="14"/>
      </tp>
      <tp t="s">
        <v>#N/A Requesting Data...4227312947</v>
        <stp/>
        <stp>BDP|17993463373751784202</stp>
        <tr r="AL29" s="14"/>
      </tp>
      <tp t="s">
        <v>#N/A Requesting Data...2123243418</v>
        <stp/>
        <stp>BDP|16626169179687434068</stp>
        <tr r="AS76" s="14"/>
      </tp>
      <tp t="s">
        <v>#N/A Requesting Data...2699779773</v>
        <stp/>
        <stp>BDP|11345179144890297399</stp>
        <tr r="AR54" s="14"/>
      </tp>
      <tp t="s">
        <v>#N/A N/A</v>
        <stp/>
        <stp>BDP|14865710445837127774</stp>
        <tr r="P18" s="7"/>
      </tp>
      <tp t="s">
        <v>#N/A Requesting Data...3665898054</v>
        <stp/>
        <stp>BDP|14920079643575352244</stp>
        <tr r="AT81" s="14"/>
      </tp>
      <tp t="s">
        <v>#N/A N/A</v>
        <stp/>
        <stp>BDP|13374945870978414297</stp>
        <tr r="AH43" s="14"/>
        <tr r="AH43" s="14"/>
      </tp>
      <tp t="s">
        <v>#N/A Requesting Data...2968123629</v>
        <stp/>
        <stp>BDP|16345057212752608289</stp>
        <tr r="D58" s="12"/>
      </tp>
      <tp t="s">
        <v>#N/A Requesting Data...2420494387</v>
        <stp/>
        <stp>BDP|12315993357160577928</stp>
        <tr r="AQ52" s="14"/>
      </tp>
      <tp t="s">
        <v>#N/A Requesting Data...4277266125</v>
        <stp/>
        <stp>BDP|14136314871977378085</stp>
        <tr r="D75" s="16"/>
        <tr r="E77" s="14"/>
      </tp>
      <tp t="s">
        <v>#N/A Requesting Data...3523775103</v>
        <stp/>
        <stp>BDP|15912772775700811294</stp>
        <tr r="AF57" s="14"/>
      </tp>
      <tp t="s">
        <v>#N/A Requesting Data...2314850234</v>
        <stp/>
        <stp>BDP|14988876994823568156</stp>
        <tr r="I32" s="14"/>
      </tp>
      <tp t="s">
        <v>#N/A Requesting Data...3456426943</v>
        <stp/>
        <stp>BDP|18358562237521917817</stp>
        <tr r="AB77" s="14"/>
        <tr r="AB77" s="14"/>
      </tp>
      <tp t="s">
        <v>#N/A N/A</v>
        <stp/>
        <stp>BDP|14480716931737005091</stp>
        <tr r="AA23" s="1"/>
      </tp>
      <tp t="s">
        <v>#N/A Requesting Data...4254638477</v>
        <stp/>
        <stp>BDP|12274052101041391481</stp>
        <tr r="I16" s="14"/>
        <tr r="I16" s="14"/>
      </tp>
      <tp t="s">
        <v>#N/A N/A</v>
        <stp/>
        <stp>BDP|16497520151458875928</stp>
        <tr r="T71" s="14"/>
        <tr r="T71" s="14"/>
      </tp>
      <tp t="s">
        <v>#N/A Requesting Data...2623428396</v>
        <stp/>
        <stp>BDP|16013494342533776211</stp>
        <tr r="E70" s="14"/>
        <tr r="D68" s="16"/>
      </tp>
      <tp t="s">
        <v>#N/A N/A</v>
        <stp/>
        <stp>BDP|14946452256176755406</stp>
        <tr r="I76" s="16"/>
      </tp>
      <tp t="s">
        <v>#N/A Requesting Data...1863690984</v>
        <stp/>
        <stp>BDP|17803740660242495342</stp>
        <tr r="F57" s="14"/>
        <tr r="F57" s="14"/>
        <tr r="H55" s="16"/>
        <tr r="H55" s="16"/>
      </tp>
      <tp t="s">
        <v>#N/A N/A</v>
        <stp/>
        <stp>BDP|12283321778533058244</stp>
        <tr r="G18" s="1"/>
      </tp>
      <tp t="s">
        <v>#N/A Requesting Data...2685763787</v>
        <stp/>
        <stp>BDP|16848926101169242157</stp>
        <tr r="AK108" s="14"/>
      </tp>
      <tp t="s">
        <v>#N/A N/A</v>
        <stp/>
        <stp>BDP|12538264461002702397</stp>
        <tr r="T44" s="14"/>
      </tp>
      <tp t="s">
        <v>#N/A Requesting Data...1721089371</v>
        <stp/>
        <stp>BDP|13603362957136339485</stp>
        <tr r="AD25" s="14"/>
      </tp>
      <tp t="s">
        <v>#N/A Requesting Data...2301840893</v>
        <stp/>
        <stp>BDP|13310967404185455896</stp>
        <tr r="H63" s="14"/>
      </tp>
      <tp t="s">
        <v>#N/A Requesting Data...2764248593</v>
        <stp/>
        <stp>BDP|17551084257761512433</stp>
        <tr r="AF76" s="14"/>
      </tp>
      <tp t="s">
        <v>#N/A Requesting Data...2102846318</v>
        <stp/>
        <stp>BDP|13375384633946410233</stp>
        <tr r="AB109" s="14"/>
        <tr r="AB109" s="14"/>
      </tp>
      <tp t="s">
        <v>#N/A Requesting Data...3996686461</v>
        <stp/>
        <stp>BDP|16541738558542506146</stp>
        <tr r="AN24" s="14"/>
      </tp>
      <tp t="s">
        <v>#N/A Requesting Data...3030467420</v>
        <stp/>
        <stp>BDP|15235905342136927968</stp>
        <tr r="AU51" s="14"/>
      </tp>
      <tp t="s">
        <v>#N/A N/A</v>
        <stp/>
        <stp>BDS|11589496615014680732</stp>
        <tr r="AI43" s="14"/>
        <tr r="AI43" s="14"/>
      </tp>
      <tp t="s">
        <v>#N/A N/A</v>
        <stp/>
        <stp>BDP|15619095207412294043</stp>
        <tr r="J14" s="4"/>
      </tp>
      <tp t="s">
        <v>#N/A N/A</v>
        <stp/>
        <stp>BDP|18389205857499908131</stp>
        <tr r="AH58" s="14"/>
        <tr r="AH58" s="14"/>
      </tp>
      <tp t="s">
        <v>#N/A Requesting Data...2277980157</v>
        <stp/>
        <stp>BDP|13708366512972800450</stp>
        <tr r="AR89" s="14"/>
      </tp>
      <tp t="s">
        <v>#N/A Requesting Data...2082200509</v>
        <stp/>
        <stp>BDP|12444530076226724189</stp>
        <tr r="F59" s="16"/>
      </tp>
      <tp t="s">
        <v>#N/A Requesting Data...4003659279</v>
        <stp/>
        <stp>BDP|12920251548500273383</stp>
        <tr r="AQ85" s="14"/>
      </tp>
      <tp t="s">
        <v>#N/A Requesting Data...3993489691</v>
        <stp/>
        <stp>BDP|10641156466571312187</stp>
        <tr r="C82" s="14"/>
      </tp>
      <tp t="s">
        <v>#N/A Requesting Data...2688544997</v>
        <stp/>
        <stp>BDP|15998498774152236386</stp>
        <tr r="AF61" s="14"/>
      </tp>
      <tp t="s">
        <v>#N/A N/A</v>
        <stp/>
        <stp>BDP|13154266745435599765</stp>
        <tr r="Q37" s="14"/>
      </tp>
      <tp t="s">
        <v>#N/A Requesting Data...1793837853</v>
        <stp/>
        <stp>BDP|14113732178830258394</stp>
        <tr r="AD49" s="14"/>
      </tp>
      <tp t="s">
        <v>#N/A N/A</v>
        <stp/>
        <stp>BDP|14611381530040923368</stp>
        <tr r="D19" s="6"/>
      </tp>
      <tp t="s">
        <v>#N/A Requesting Data...3505895213</v>
        <stp/>
        <stp>BDP|13357203720142098626</stp>
        <tr r="AK32" s="14"/>
      </tp>
      <tp t="s">
        <v>#N/A Requesting Data...4127147239</v>
        <stp/>
        <stp>BDP|11224681606415472598</stp>
        <tr r="C11" s="14"/>
      </tp>
      <tp t="s">
        <v>#N/A N/A</v>
        <stp/>
        <stp>BDP|12895663121363744292</stp>
        <tr r="AB17" s="1"/>
      </tp>
      <tp t="s">
        <v>#N/A Requesting Data...2600156605</v>
        <stp/>
        <stp>BDP|13983366435862380681</stp>
        <tr r="AB15" s="14"/>
        <tr r="AB15" s="14"/>
      </tp>
      <tp t="s">
        <v>#N/A N/A</v>
        <stp/>
        <stp>BDP|15116661678323997074</stp>
        <tr r="I16" s="1"/>
      </tp>
      <tp t="s">
        <v>#N/A Requesting Data...3275158667</v>
        <stp/>
        <stp>BDP|14306702463576832497</stp>
        <tr r="G17" s="14"/>
      </tp>
      <tp t="s">
        <v>#N/A Requesting Data...3285262030</v>
        <stp/>
        <stp>BDP|17866005459273410642</stp>
        <tr r="V12" s="14"/>
      </tp>
      <tp t="s">
        <v>#N/A Requesting Data...2214397264</v>
        <stp/>
        <stp>BDP|14942510908580067616</stp>
        <tr r="AK17" s="14"/>
      </tp>
      <tp t="s">
        <v>#N/A Requesting Data...3506779411</v>
        <stp/>
        <stp>BDP|10001023434835671118</stp>
        <tr r="V64" s="14"/>
      </tp>
      <tp t="s">
        <v>#N/A Requesting Data...2104442498</v>
        <stp/>
        <stp>BDP|16667406960491388256</stp>
        <tr r="AP54" s="14"/>
      </tp>
      <tp t="s">
        <v>#N/A Requesting Data...2516309932</v>
        <stp/>
        <stp>BDP|15687105323005332464</stp>
        <tr r="C49" s="14"/>
      </tp>
      <tp t="s">
        <v>#N/A Requesting Data...2552244584</v>
        <stp/>
        <stp>BDP|11122465857544840388</stp>
        <tr r="AB25" s="14"/>
        <tr r="AB25" s="14"/>
      </tp>
      <tp t="s">
        <v>#N/A Requesting Data...2554906443</v>
        <stp/>
        <stp>BDP|10614484534068895820</stp>
        <tr r="C91" s="12"/>
      </tp>
      <tp t="s">
        <v>#N/A N/A</v>
        <stp/>
        <stp>BDP|13080692030798180987</stp>
        <tr r="U19" s="1"/>
      </tp>
      <tp t="s">
        <v>#N/A N/A</v>
        <stp/>
        <stp>BDP|12502406523147059463</stp>
        <tr r="T106" s="14"/>
        <tr r="T106" s="14"/>
      </tp>
      <tp t="s">
        <v>#N/A Requesting Data...2884393265</v>
        <stp/>
        <stp>BDP|12135259828827515293</stp>
        <tr r="AB38" s="14"/>
        <tr r="AB38" s="14"/>
      </tp>
      <tp t="s">
        <v>#N/A Requesting Data...4174357975</v>
        <stp/>
        <stp>BDP|14366668951843470305</stp>
        <tr r="AU16" s="14"/>
      </tp>
      <tp t="s">
        <v>#N/A Requesting Data...2428936002</v>
        <stp/>
        <stp>BDP|14145566646530196236</stp>
        <tr r="D64" s="12"/>
      </tp>
      <tp t="s">
        <v>#N/A Requesting Data...2074357090</v>
        <stp/>
        <stp>BDP|15872727265936901551</stp>
        <tr r="I33" s="14"/>
      </tp>
      <tp t="s">
        <v>#N/A Requesting Data...1754743563</v>
        <stp/>
        <stp>BDP|12509028228282519595</stp>
        <tr r="AF20" s="14"/>
      </tp>
      <tp t="s">
        <v>#N/A N/A</v>
        <stp/>
        <stp>BDP|13283641047325666341</stp>
        <tr r="B6" s="1"/>
      </tp>
      <tp t="s">
        <v>#N/A Requesting Data...2604680113</v>
        <stp/>
        <stp>BDP|13753797605770870305</stp>
        <tr r="H41" s="14"/>
      </tp>
      <tp t="s">
        <v>#N/A Requesting Data...3984512158</v>
        <stp/>
        <stp>BDP|10441335935414233330</stp>
        <tr r="AE53" s="14"/>
      </tp>
      <tp t="s">
        <v>#N/A Requesting Data...1712824778</v>
        <stp/>
        <stp>BDP|13388175846881817091</stp>
        <tr r="G94" s="16"/>
      </tp>
      <tp t="s">
        <v>#N/A N/A</v>
        <stp/>
        <stp>BDP|13203201930090103504</stp>
        <tr r="J13" s="1"/>
      </tp>
      <tp t="s">
        <v>#N/A Requesting Data...3908908095</v>
        <stp/>
        <stp>BDP|18047024084677346066</stp>
        <tr r="AF50" s="14"/>
      </tp>
      <tp t="s">
        <v>#N/A Requesting Data...3116776083</v>
        <stp/>
        <stp>BDP|16621485038885726332</stp>
        <tr r="AD69" s="14"/>
      </tp>
      <tp t="s">
        <v>#N/A N/A</v>
        <stp/>
        <stp>BDP|11613500311783606139</stp>
        <tr r="T54" s="14"/>
      </tp>
      <tp t="s">
        <v>#N/A Requesting Data...3161327257</v>
        <stp/>
        <stp>BDP|13531072654295094445</stp>
        <tr r="AR44" s="14"/>
      </tp>
      <tp t="s">
        <v>#N/A Requesting Data...4258024827</v>
        <stp/>
        <stp>BDP|15624125383959147245</stp>
        <tr r="AR61" s="14"/>
      </tp>
      <tp t="s">
        <v>#N/A Requesting Data...4081736647</v>
        <stp/>
        <stp>BDP|16611746872866748754</stp>
        <tr r="AM28" s="14"/>
      </tp>
      <tp t="s">
        <v>#N/A Requesting Data...2538332422</v>
        <stp/>
        <stp>BDP|13658623375457183224</stp>
        <tr r="H11" s="14"/>
      </tp>
      <tp t="s">
        <v>#N/A Requesting Data...3236282462</v>
        <stp/>
        <stp>BDP|12480576437163672005</stp>
        <tr r="AM19" s="14"/>
      </tp>
      <tp t="s">
        <v>#N/A Requesting Data...2451874472</v>
        <stp/>
        <stp>BDP|14454592176404940504</stp>
        <tr r="AB76" s="14"/>
        <tr r="AB76" s="14"/>
      </tp>
      <tp t="s">
        <v>#N/A N/A</v>
        <stp/>
        <stp>BDS|11360131526536063377</stp>
        <tr r="AI11" s="14"/>
        <tr r="AI11" s="14"/>
      </tp>
      <tp t="s">
        <v>#N/A Requesting Data...3499811280</v>
        <stp/>
        <stp>BDP|10055723032162119134</stp>
        <tr r="E76" s="16"/>
      </tp>
      <tp t="s">
        <v>#N/A Requesting Data...3428497327</v>
        <stp/>
        <stp>BDP|12212581178013899489</stp>
        <tr r="F56" s="16"/>
      </tp>
      <tp t="s">
        <v>#N/A Requesting Data...1845155677</v>
        <stp/>
        <stp>BDP|12696268130100362416</stp>
        <tr r="AL93" s="14"/>
      </tp>
      <tp t="s">
        <v>#N/A N/A</v>
        <stp/>
        <stp>BDP|16825198610456694750</stp>
        <tr r="S20" s="6"/>
      </tp>
      <tp t="s">
        <v>#N/A Requesting Data...2355982590</v>
        <stp/>
        <stp>BDP|13894184472717581554</stp>
        <tr r="AE51" s="14"/>
      </tp>
      <tp t="s">
        <v>#N/A N/A</v>
        <stp/>
        <stp>BDP|14379296268706374148</stp>
        <tr r="K107" s="16"/>
        <tr r="K104" s="16"/>
      </tp>
      <tp t="s">
        <v>#N/A Requesting Data...2842350133</v>
        <stp/>
        <stp>BDP|17639521040483082217</stp>
        <tr r="AM21" s="14"/>
      </tp>
      <tp t="s">
        <v>#N/A Requesting Data...2233902743</v>
        <stp/>
        <stp>BDP|16691341427511439146</stp>
        <tr r="AF52" s="14"/>
      </tp>
      <tp t="s">
        <v>#N/A N/A</v>
        <stp/>
        <stp>BDP|16437509156703369244</stp>
        <tr r="I26" s="16"/>
      </tp>
      <tp t="s">
        <v>#N/A N/A</v>
        <stp/>
        <stp>BDP|11227340733610185610</stp>
        <tr r="AK23" s="1"/>
      </tp>
      <tp t="s">
        <v>#N/A Requesting Data...3208700217</v>
        <stp/>
        <stp>BDP|11649627284318464015</stp>
        <tr r="G102" s="16"/>
      </tp>
      <tp t="s">
        <v>#N/A Requesting Data...3440815200</v>
        <stp/>
        <stp>BDP|16167388206974920636</stp>
        <tr r="D51" s="16"/>
        <tr r="E53" s="14"/>
      </tp>
      <tp t="s">
        <v>#N/A Requesting Data...1750754798</v>
        <stp/>
        <stp>BDP|14975061301422990129</stp>
        <tr r="K61" s="14"/>
      </tp>
      <tp t="s">
        <v>#N/A Requesting Data...2029524667</v>
        <stp/>
        <stp>BDP|16034646891487122911</stp>
        <tr r="AE77" s="14"/>
      </tp>
      <tp t="s">
        <v>#N/A Requesting Data...3713822958</v>
        <stp/>
        <stp>BDP|15360824884770000202</stp>
        <tr r="AU65" s="14"/>
      </tp>
      <tp t="s">
        <v>#N/A Requesting Data...1739811074</v>
        <stp/>
        <stp>BDP|14195741211761603479</stp>
        <tr r="AH53" s="14"/>
      </tp>
      <tp t="s">
        <v>#N/A Requesting Data...4257608524</v>
        <stp/>
        <stp>BDP|14352404275767534760</stp>
        <tr r="AB39" s="14"/>
        <tr r="AB39" s="14"/>
      </tp>
      <tp t="s">
        <v>#N/A Requesting Data...3871823339</v>
        <stp/>
        <stp>BDP|16797337900343791179</stp>
        <tr r="AB110" s="14"/>
        <tr r="AB110" s="14"/>
      </tp>
      <tp t="s">
        <v>#N/A N/A</v>
        <stp/>
        <stp>BDP|12964286016033556568</stp>
        <tr r="AA105" s="14"/>
      </tp>
      <tp t="s">
        <v>#N/A N/A</v>
        <stp/>
        <stp>BDP|18340840945452356156</stp>
        <tr r="G25" s="7"/>
      </tp>
      <tp t="s">
        <v>#N/A Requesting Data...2646864911</v>
        <stp/>
        <stp>BDP|11654118662857476651</stp>
        <tr r="D56" s="12"/>
      </tp>
      <tp t="s">
        <v>#N/A Requesting Data...2542648679</v>
        <stp/>
        <stp>BDP|15576737755306439632</stp>
        <tr r="AS29" s="14"/>
      </tp>
      <tp t="s">
        <v>#N/A Requesting Data...3067813511</v>
        <stp/>
        <stp>BDP|13641360435200867490</stp>
        <tr r="E64" s="14"/>
        <tr r="D62" s="16"/>
      </tp>
      <tp t="s">
        <v>#N/A Requesting Data...4015343323</v>
        <stp/>
        <stp>BDP|17725140003644741537</stp>
        <tr r="AQ80" s="14"/>
      </tp>
      <tp t="s">
        <v>#N/A Requesting Data...3776360877</v>
        <stp/>
        <stp>BDP|15720414987159540705</stp>
        <tr r="AK49" s="14"/>
      </tp>
      <tp t="s">
        <v>#N/A Requesting Data...3903108905</v>
        <stp/>
        <stp>BDP|13915062441917960703</stp>
        <tr r="AL33" s="14"/>
      </tp>
      <tp t="s">
        <v>#N/A Requesting Data...3845465567</v>
        <stp/>
        <stp>BDP|11334597554155879311</stp>
        <tr r="AN17" s="14"/>
      </tp>
      <tp t="s">
        <v>#N/A Requesting Data...2952651044</v>
        <stp/>
        <stp>BDP|10676502756487636011</stp>
        <tr r="AL72" s="14"/>
      </tp>
      <tp t="s">
        <v>#N/A Requesting Data...2227081524</v>
        <stp/>
        <stp>BDP|13879181049839983875</stp>
        <tr r="AP17" s="14"/>
      </tp>
      <tp t="s">
        <v>#N/A Requesting Data...2372205035</v>
        <stp/>
        <stp>BDP|14928915033731463884</stp>
        <tr r="AL98" s="14"/>
      </tp>
      <tp t="s">
        <v>#N/A Requesting Data...2626435014</v>
        <stp/>
        <stp>BDP|14679171845705052333</stp>
        <tr r="K21" s="14"/>
      </tp>
      <tp t="s">
        <v>#N/A Requesting Data...2202839796</v>
        <stp/>
        <stp>BDP|14218052945376091143</stp>
        <tr r="AN40" s="14"/>
      </tp>
      <tp t="s">
        <v>#N/A N/A</v>
        <stp/>
        <stp>BDS|11666339890474026801</stp>
        <tr r="AI89" s="14"/>
        <tr r="AI89" s="14"/>
      </tp>
      <tp t="s">
        <v>#N/A N/A</v>
        <stp/>
        <stp>BDP|16445588093109909402</stp>
        <tr r="G23" s="6"/>
      </tp>
      <tp t="s">
        <v>#N/A Requesting Data...2666628769</v>
        <stp/>
        <stp>BDP|17744782066673942268</stp>
        <tr r="V57" s="14"/>
      </tp>
      <tp t="s">
        <v>#N/A Requesting Data...3693383852</v>
        <stp/>
        <stp>BDP|14041955194666239557</stp>
        <tr r="AT79" s="14"/>
      </tp>
      <tp t="s">
        <v>#N/A Requesting Data...3682611786</v>
        <stp/>
        <stp>BDP|14833435161454805545</stp>
        <tr r="C95" s="14"/>
      </tp>
      <tp t="s">
        <v>#N/A N/A</v>
        <stp/>
        <stp>BDH|16810285856022599423</stp>
        <tr r="AI12" s="14"/>
      </tp>
      <tp t="s">
        <v>#N/A N/A</v>
        <stp/>
        <stp>BDH|16559416640882649318</stp>
        <tr r="AE37" s="14"/>
      </tp>
      <tp t="s">
        <v>#N/A N/A</v>
        <stp/>
        <stp>BDH|10584355939395376289</stp>
        <tr r="AI59" s="14"/>
        <tr r="AI64" s="14"/>
      </tp>
      <tp t="s">
        <v>#N/A N/A</v>
        <stp/>
        <stp>BADDPERIODS|12683538557644814559</stp>
        <tr r="AH40" s="14"/>
      </tp>
      <tp t="s">
        <v>#N/A N/A</v>
        <stp/>
        <stp>BDH|10528109366788542834</stp>
        <tr r="AE92" s="14"/>
      </tp>
      <tp t="s">
        <v>#N/A N/A</v>
        <stp/>
        <stp>BDH|12813011645106964729</stp>
        <tr r="AE55" s="14"/>
      </tp>
      <tp t="s">
        <v>#N/A N/A</v>
        <stp/>
        <stp>BDH|12582146242974386460</stp>
        <tr r="X16" s="7"/>
      </tp>
      <tp t="s">
        <v>#N/A N/A</v>
        <stp/>
        <stp>BDH|13260213041035205788</stp>
        <tr r="X25" s="6"/>
      </tp>
      <tp t="s">
        <v>#N/A N/A</v>
        <stp/>
        <stp>BADDPERIODS|17528150051305581519</stp>
        <tr r="AH13" s="14"/>
      </tp>
      <tp t="s">
        <v>#N/A N/A</v>
        <stp/>
        <stp>BDH|10880875619356938853</stp>
        <tr r="AO15" s="1"/>
      </tp>
      <tp t="s">
        <v>#N/A N/A</v>
        <stp/>
        <stp>BDH|16896927104470665853</stp>
        <tr r="AN20" s="1"/>
      </tp>
      <tp t="s">
        <v>#N/A N/A</v>
        <stp/>
        <stp>BDH|12468598499019871005</stp>
        <tr r="X23" s="7"/>
      </tp>
      <tp t="s">
        <v>#N/A N/A</v>
        <stp/>
        <stp>BADDPERIODS|10685369445415733137</stp>
        <tr r="AH60" s="14"/>
      </tp>
      <tp t="s">
        <v>#N/A N/A</v>
        <stp/>
        <stp>BDH|10722464087522087994</stp>
        <tr r="AE56" s="14"/>
      </tp>
      <tp t="s">
        <v>#N/A N/A</v>
        <stp/>
        <stp>BDH|17804271030668291929</stp>
        <tr r="AE23" s="14"/>
      </tp>
      <tp t="s">
        <v>#N/A N/A</v>
        <stp/>
        <stp>BADDPERIODS|16869506819151416073</stp>
        <tr r="AH84" s="14"/>
      </tp>
      <tp t="s">
        <v>#N/A N/A</v>
        <stp/>
        <stp>BADDPERIODS|18359713273473063821</stp>
        <tr r="AH65" s="14"/>
      </tp>
      <tp t="s">
        <v>#N/A N/A</v>
        <stp/>
        <stp>BDP|15868318310010750370</stp>
        <tr r="J54" s="14"/>
      </tp>
      <tp t="s">
        <v>#N/A Requesting Data...2422456277</v>
        <stp/>
        <stp>BDP|13880898375200982845</stp>
        <tr r="AM64" s="14"/>
      </tp>
      <tp t="s">
        <v>#N/A Requesting Data...2953908241</v>
        <stp/>
        <stp>BDP|18189767927171022890</stp>
        <tr r="K18" s="1"/>
      </tp>
      <tp t="s">
        <v>#N/A Requesting Data...2816528089</v>
        <stp/>
        <stp>BDP|13828607902759343802</stp>
        <tr r="H101" s="14"/>
      </tp>
      <tp t="s">
        <v>#N/A Requesting Data...3627708415</v>
        <stp/>
        <stp>BDP|15085487043093362203</stp>
        <tr r="AM76" s="14"/>
      </tp>
      <tp t="s">
        <v>#N/A Requesting Data...4193638511</v>
        <stp/>
        <stp>BDP|10713061179510094305</stp>
        <tr r="J18" s="1"/>
      </tp>
      <tp t="s">
        <v>#N/A Requesting Data...3352132113</v>
        <stp/>
        <stp>BDP|14660849297253900242</stp>
        <tr r="AT14" s="14"/>
      </tp>
      <tp t="s">
        <v>#N/A N/A</v>
        <stp/>
        <stp>BDP|17951241423926131571</stp>
        <tr r="AB14" s="4"/>
      </tp>
      <tp t="s">
        <v>#N/A Requesting Data...2485229488</v>
        <stp/>
        <stp>BDP|16197553512060607686</stp>
        <tr r="E43" s="16"/>
      </tp>
      <tp t="s">
        <v>#N/A N/A</v>
        <stp/>
        <stp>BDS|12940013311560721753</stp>
        <tr r="AI69" s="14"/>
        <tr r="AI69" s="14"/>
      </tp>
      <tp t="s">
        <v>#N/A N/A</v>
        <stp/>
        <stp>BDP|16548797076496613445</stp>
        <tr r="T102" s="14"/>
        <tr r="T102" s="14"/>
      </tp>
      <tp t="s">
        <v>#N/A Requesting Data...2903516556</v>
        <stp/>
        <stp>BDP|12824980203307910822</stp>
        <tr r="AT89" s="14"/>
      </tp>
      <tp t="s">
        <v>#N/A N/A</v>
        <stp/>
        <stp>BDP|18209901543996087791</stp>
        <tr r="V14" s="7"/>
      </tp>
      <tp t="s">
        <v>#N/A N/A</v>
        <stp/>
        <stp>BDP|12119900302647859832</stp>
        <tr r="T49" s="14"/>
        <tr r="T49" s="14"/>
      </tp>
      <tp t="s">
        <v>#N/A Requesting Data...2581718719</v>
        <stp/>
        <stp>BDP|15843921677069467614</stp>
        <tr r="C19" s="14"/>
      </tp>
      <tp t="s">
        <v>#N/A N/A</v>
        <stp/>
        <stp>BDS|14662414528851082746</stp>
        <tr r="AI40" s="14"/>
        <tr r="AI40" s="14"/>
      </tp>
      <tp t="s">
        <v>#N/A N/A</v>
        <stp/>
        <stp>BDP|16157395446367536234</stp>
        <tr r="E19" s="7"/>
      </tp>
      <tp t="s">
        <v>#N/A N/A</v>
        <stp/>
        <stp>BDP|17600741168953526142</stp>
        <tr r="T29" s="14"/>
        <tr r="T29" s="14"/>
      </tp>
      <tp t="s">
        <v>#N/A Requesting Data...3688722555</v>
        <stp/>
        <stp>BDP|15915638518234845211</stp>
        <tr r="AL50" s="14"/>
      </tp>
      <tp t="s">
        <v>#N/A N/A</v>
        <stp/>
        <stp>BDP|13128151329100226440</stp>
        <tr r="I56" s="16"/>
      </tp>
      <tp t="s">
        <v>#N/A Requesting Data...2587592796</v>
        <stp/>
        <stp>BDP|13540695092480307865</stp>
        <tr r="AH15" s="14"/>
      </tp>
      <tp t="s">
        <v>#N/A Requesting Data...4020645026</v>
        <stp/>
        <stp>BDP|16055510269379655853</stp>
        <tr r="C77" s="12"/>
      </tp>
      <tp t="s">
        <v>#N/A Requesting Data...3544324429</v>
        <stp/>
        <stp>BDP|11285313507901746781</stp>
        <tr r="AO33" s="14"/>
        <tr r="AO33" s="14"/>
      </tp>
      <tp t="s">
        <v>#N/A Requesting Data...1975623603</v>
        <stp/>
        <stp>BDP|10769554007980624191</stp>
        <tr r="I96" s="14"/>
        <tr r="I96" s="14"/>
      </tp>
      <tp t="s">
        <v>#N/A Requesting Data...3769921868</v>
        <stp/>
        <stp>BDP|11310170314212380793</stp>
        <tr r="AL24" s="14"/>
      </tp>
      <tp t="s">
        <v>#N/A N/A</v>
        <stp/>
        <stp>BDP|16800570512824325245</stp>
        <tr r="N25" s="7"/>
      </tp>
      <tp t="s">
        <v>#N/A N/A</v>
        <stp/>
        <stp>BDP|11339558338575719631</stp>
        <tr r="J83" s="16"/>
      </tp>
      <tp t="s">
        <v>#N/A Requesting Data...3788756006</v>
        <stp/>
        <stp>BDP|14122268059147205068</stp>
        <tr r="I12" s="14"/>
        <tr r="I12" s="14"/>
      </tp>
      <tp t="s">
        <v>#N/A Requesting Data...3503817780</v>
        <stp/>
        <stp>BDP|15578031721211534285</stp>
        <tr r="AO98" s="14"/>
        <tr r="AO98" s="14"/>
      </tp>
      <tp t="s">
        <v>#N/A Requesting Data...2692928319</v>
        <stp/>
        <stp>BDP|12985699649715633157</stp>
        <tr r="H78" s="14"/>
      </tp>
      <tp t="s">
        <v>#N/A Requesting Data...3759285221</v>
        <stp/>
        <stp>BDP|14359681779282952313</stp>
        <tr r="AR71" s="14"/>
      </tp>
      <tp t="s">
        <v>#N/A Requesting Data...3232544202</v>
        <stp/>
        <stp>BDP|18160956265233300086</stp>
        <tr r="G23" s="16"/>
      </tp>
      <tp t="s">
        <v>#N/A N/A</v>
        <stp/>
        <stp>BDP|15272888449368734594</stp>
        <tr r="V26" s="6"/>
      </tp>
      <tp t="s">
        <v>#N/A Requesting Data...2867388838</v>
        <stp/>
        <stp>BDP|14205605555527808429</stp>
        <tr r="AJ19" s="1"/>
      </tp>
      <tp t="s">
        <v>#N/A Requesting Data...3445337549</v>
        <stp/>
        <stp>BDP|12287001662078883859</stp>
        <tr r="G29" s="14"/>
      </tp>
      <tp t="s">
        <v>#N/A Requesting Data...3824005394</v>
        <stp/>
        <stp>BDP|15037293982878323357</stp>
        <tr r="D90" s="16"/>
        <tr r="E92" s="14"/>
      </tp>
      <tp t="s">
        <v>#N/A Requesting Data...3443054932</v>
        <stp/>
        <stp>BDP|14510556809734644128</stp>
        <tr r="AE87" s="14"/>
      </tp>
      <tp t="s">
        <v>#N/A Requesting Data...1796124854</v>
        <stp/>
        <stp>BDP|15613695270929561977</stp>
        <tr r="AL82" s="14"/>
      </tp>
      <tp t="s">
        <v>#N/A Requesting Data...4120485196</v>
        <stp/>
        <stp>BDP|13248873839465864997</stp>
        <tr r="AM66" s="14"/>
      </tp>
      <tp t="s">
        <v>#N/A Requesting Data...3853171825</v>
        <stp/>
        <stp>BDP|17765097311433306110</stp>
        <tr r="E27" s="16"/>
      </tp>
      <tp t="s">
        <v>#N/A Requesting Data...2734853340</v>
        <stp/>
        <stp>BDP|17517291712327417769</stp>
        <tr r="AS36" s="14"/>
      </tp>
      <tp t="s">
        <v>#N/A N/A</v>
        <stp/>
        <stp>BDP|13779780202044194404</stp>
        <tr r="L10" s="16"/>
        <tr r="L71" s="16"/>
      </tp>
      <tp t="s">
        <v>#N/A N/A</v>
        <stp/>
        <stp>BDP|10615421637733792086</stp>
        <tr r="F20" s="6"/>
      </tp>
      <tp t="s">
        <v>#N/A Requesting Data...1838826640</v>
        <stp/>
        <stp>BDP|13542394207971515520</stp>
        <tr r="AK52" s="14"/>
      </tp>
      <tp t="s">
        <v>#N/A Requesting Data...2390178101</v>
        <stp/>
        <stp>BDP|18378597674247488962</stp>
        <tr r="AM31" s="14"/>
      </tp>
      <tp t="s">
        <v>#N/A N/A</v>
        <stp/>
        <stp>BDP|15037985402928631000</stp>
        <tr r="AH19" s="14"/>
        <tr r="AH19" s="14"/>
      </tp>
      <tp t="s">
        <v>#N/A Requesting Data...3439471594</v>
        <stp/>
        <stp>BDP|16611542561349869875</stp>
        <tr r="D85" s="16"/>
        <tr r="E87" s="14"/>
      </tp>
      <tp t="s">
        <v>#N/A Requesting Data...3391391556</v>
        <stp/>
        <stp>BDP|16951176032280486048</stp>
        <tr r="G70" s="14"/>
      </tp>
      <tp t="s">
        <v>#N/A Requesting Data...2069445206</v>
        <stp/>
        <stp>BDP|10364105235115809323</stp>
        <tr r="H94" s="14"/>
      </tp>
      <tp t="s">
        <v>#N/A Requesting Data...2610729102</v>
        <stp/>
        <stp>BDP|12353954945613756882</stp>
        <tr r="AO75" s="14"/>
        <tr r="AO75" s="14"/>
      </tp>
      <tp t="s">
        <v>#N/A N/A</v>
        <stp/>
        <stp>BDP|10907357779457041797</stp>
        <tr r="AA21" s="1"/>
      </tp>
      <tp t="s">
        <v>#N/A Requesting Data...3253018494</v>
        <stp/>
        <stp>BDP|18065930359704129474</stp>
        <tr r="I15" s="12"/>
      </tp>
      <tp t="s">
        <v>#N/A Requesting Data...2457873709</v>
        <stp/>
        <stp>BDP|14432092711823271228</stp>
        <tr r="AB32" s="14"/>
        <tr r="AB32" s="14"/>
      </tp>
      <tp t="s">
        <v>#N/A Requesting Data...3789691257</v>
        <stp/>
        <stp>BDP|14308163907044746592</stp>
        <tr r="AF77" s="14"/>
      </tp>
      <tp t="s">
        <v>#N/A Requesting Data...2714511694</v>
        <stp/>
        <stp>BDP|13218611091708477098</stp>
        <tr r="AH65" s="14"/>
      </tp>
      <tp t="s">
        <v>#N/A Requesting Data...2705718807</v>
        <stp/>
        <stp>BDP|15746403315637993340</stp>
        <tr r="F70" s="16"/>
      </tp>
      <tp t="s">
        <v>#N/A N/A</v>
        <stp/>
        <stp>BDP|15532436740269165889</stp>
        <tr r="N23" s="6"/>
      </tp>
      <tp t="s">
        <v>#N/A Requesting Data...3253916218</v>
        <stp/>
        <stp>BDP|14430257815566985526</stp>
        <tr r="C85" s="14"/>
      </tp>
      <tp t="s">
        <v>#N/A Requesting Data...3871893574</v>
        <stp/>
        <stp>BDP|14976861711111667872</stp>
        <tr r="AH103" s="14"/>
      </tp>
      <tp t="s">
        <v>#N/A Requesting Data...3259176603</v>
        <stp/>
        <stp>BDP|15813459345300696113</stp>
        <tr r="AD24" s="14"/>
      </tp>
      <tp t="s">
        <v>#N/A N/A</v>
        <stp/>
        <stp>BDP|13486157621872988668</stp>
        <tr r="V18" s="6"/>
      </tp>
      <tp t="s">
        <v>#N/A N/A</v>
        <stp/>
        <stp>BDP|14611569656573888312</stp>
        <tr r="D17" s="6"/>
      </tp>
      <tp t="s">
        <v>#N/A N/A</v>
        <stp/>
        <stp>BDP|14737048164204829210</stp>
        <tr r="T85" s="14"/>
        <tr r="T85" s="14"/>
      </tp>
      <tp t="s">
        <v>#N/A Requesting Data...4076855567</v>
        <stp/>
        <stp>BDP|12641532741412224588</stp>
        <tr r="F70" s="14"/>
        <tr r="F70" s="14"/>
        <tr r="H68" s="16"/>
        <tr r="H68" s="16"/>
      </tp>
      <tp t="s">
        <v>#N/A Requesting Data...4077892634</v>
        <stp/>
        <stp>BDP|15743580597728397552</stp>
        <tr r="F71" s="16"/>
      </tp>
      <tp t="s">
        <v>#N/A Requesting Data...2127141511</v>
        <stp/>
        <stp>BDP|17558288727331163257</stp>
        <tr r="G61" s="16"/>
      </tp>
      <tp t="s">
        <v>#N/A Requesting Data...2611390954</v>
        <stp/>
        <stp>BDP|12486111668658658959</stp>
        <tr r="C14" s="16"/>
        <tr r="D16" s="14"/>
      </tp>
      <tp t="s">
        <v>#N/A Requesting Data...1985285049</v>
        <stp/>
        <stp>BDP|13821132337395106032</stp>
        <tr r="AU79" s="14"/>
      </tp>
      <tp t="s">
        <v>#N/A N/A</v>
        <stp/>
        <stp>BDP|12224292558947371617</stp>
        <tr r="AH101" s="14"/>
        <tr r="AH101" s="14"/>
      </tp>
      <tp t="s">
        <v>#N/A Requesting Data...2045518979</v>
        <stp/>
        <stp>BDP|13175710722232387004</stp>
        <tr r="C112" s="12"/>
      </tp>
      <tp t="s">
        <v>#N/A Requesting Data...3086912589</v>
        <stp/>
        <stp>BDP|15622435744563382236</stp>
        <tr r="AQ72" s="14"/>
      </tp>
      <tp t="s">
        <v>#N/A Requesting Data...1928348465</v>
        <stp/>
        <stp>BDP|10123470445101509572</stp>
        <tr r="AK46" s="14"/>
      </tp>
      <tp t="s">
        <v>#N/A N/A</v>
        <stp/>
        <stp>BDP|16487242258747054299</stp>
        <tr r="G12" s="4"/>
      </tp>
      <tp t="s">
        <v>#N/A Requesting Data...2966570036</v>
        <stp/>
        <stp>BDP|15937801908638144110</stp>
        <tr r="AB17" s="14"/>
        <tr r="AB17" s="14"/>
      </tp>
      <tp t="s">
        <v>#N/A Requesting Data...2849173246</v>
        <stp/>
        <stp>BDP|18407868993565599853</stp>
        <tr r="AP92" s="14"/>
      </tp>
      <tp t="s">
        <v>#N/A Requesting Data...2934179163</v>
        <stp/>
        <stp>BDP|11967006555827489795</stp>
        <tr r="AL45" s="14"/>
      </tp>
      <tp t="s">
        <v>#N/A Requesting Data...2220157938</v>
        <stp/>
        <stp>BDP|15468816674478484648</stp>
        <tr r="G9" s="16"/>
      </tp>
      <tp t="s">
        <v>#N/A Requesting Data...2712746685</v>
        <stp/>
        <stp>BDP|13077167355240591362</stp>
        <tr r="G100" s="16"/>
      </tp>
      <tp t="s">
        <v>#N/A Requesting Data...3749492207</v>
        <stp/>
        <stp>BDP|14665603771277212658</stp>
        <tr r="AT31" s="14"/>
      </tp>
      <tp t="s">
        <v>#N/A N/A</v>
        <stp/>
        <stp>BDP|15105122575681055663</stp>
        <tr r="T79" s="14"/>
        <tr r="T79" s="14"/>
      </tp>
      <tp t="s">
        <v>#N/A Requesting Data...2992313932</v>
        <stp/>
        <stp>BDP|10319474929285936744</stp>
        <tr r="AO100" s="14"/>
        <tr r="AO100" s="14"/>
      </tp>
      <tp t="s">
        <v>#N/A Requesting Data...2178799376</v>
        <stp/>
        <stp>BDP|10727970683074262114</stp>
        <tr r="AO25" s="14"/>
        <tr r="AO25" s="14"/>
      </tp>
      <tp t="s">
        <v>#N/A Requesting Data...3801646655</v>
        <stp/>
        <stp>BDP|13331048233093484704</stp>
        <tr r="H37" s="16"/>
        <tr r="H37" s="16"/>
        <tr r="F39" s="14"/>
        <tr r="F39" s="14"/>
      </tp>
      <tp t="s">
        <v>#N/A Requesting Data...4041302193</v>
        <stp/>
        <stp>BDP|16276981882202134190</stp>
        <tr r="AD50" s="14"/>
      </tp>
      <tp t="s">
        <v>#N/A Requesting Data...2466296940</v>
        <stp/>
        <stp>BDP|10528720430107458731</stp>
        <tr r="AE52" s="14"/>
      </tp>
      <tp t="s">
        <v>#N/A N/A</v>
        <stp/>
        <stp>BDP|16380538634533241767</stp>
        <tr r="AH83" s="14"/>
        <tr r="AH83" s="14"/>
      </tp>
      <tp t="s">
        <v>#N/A Requesting Data...3269545927</v>
        <stp/>
        <stp>BDP|11672299753367822549</stp>
        <tr r="D52" s="16"/>
        <tr r="E54" s="14"/>
      </tp>
      <tp t="s">
        <v>#N/A N/A</v>
        <stp/>
        <stp>BDP|18102828600930061432</stp>
        <tr r="T23" s="6"/>
      </tp>
      <tp t="s">
        <v>#N/A Requesting Data...2844918599</v>
        <stp/>
        <stp>BDP|14125750164260861183</stp>
        <tr r="AD109" s="14"/>
      </tp>
      <tp t="s">
        <v>#N/A Requesting Data...4141656499</v>
        <stp/>
        <stp>BDP|11206629177812218668</stp>
        <tr r="I39" s="14"/>
      </tp>
      <tp t="s">
        <v>#N/A N/A</v>
        <stp/>
        <stp>BDP|16644678233236572141</stp>
        <tr r="T64" s="14"/>
        <tr r="T64" s="14"/>
      </tp>
      <tp t="s">
        <v>#N/A N/A</v>
        <stp/>
        <stp>BDP|12635222005942717656</stp>
        <tr r="I67" s="16"/>
        <tr r="I24" s="16"/>
        <tr r="I25" s="16"/>
        <tr r="I58" s="16"/>
        <tr r="I59" s="16"/>
      </tp>
      <tp t="s">
        <v>#N/A Requesting Data...2590908766</v>
        <stp/>
        <stp>BDP|16244835185830444232</stp>
        <tr r="AR28" s="14"/>
      </tp>
      <tp t="s">
        <v>#N/A Requesting Data...4096017752</v>
        <stp/>
        <stp>BDP|17300698730950081694</stp>
        <tr r="F83" s="16"/>
      </tp>
      <tp t="s">
        <v>#N/A N/A</v>
        <stp/>
        <stp>BDP|12722442630117748679</stp>
        <tr r="I26" s="6"/>
      </tp>
      <tp t="s">
        <v>#N/A Requesting Data...3705082887</v>
        <stp/>
        <stp>BDP|14097931987538644915</stp>
        <tr r="AS23" s="14"/>
      </tp>
      <tp t="s">
        <v>#N/A Requesting Data...4146438641</v>
        <stp/>
        <stp>BDP|14743572333883153518</stp>
        <tr r="I26" s="14"/>
        <tr r="I26" s="14"/>
      </tp>
      <tp t="s">
        <v>#N/A Requesting Data...2705442918</v>
        <stp/>
        <stp>BDP|15139235083548409360</stp>
        <tr r="AH70" s="14"/>
      </tp>
      <tp t="s">
        <v>#N/A Requesting Data...3088125834</v>
        <stp/>
        <stp>BDP|13794300411905577004</stp>
        <tr r="H21" s="14"/>
      </tp>
      <tp t="s">
        <v>#N/A Requesting Data...2132088536</v>
        <stp/>
        <stp>BDP|15428619511810297658</stp>
        <tr r="AL100" s="14"/>
      </tp>
      <tp t="s">
        <v>#N/A N/A</v>
        <stp/>
        <stp>BDP|13400268167556645508</stp>
        <tr r="K30" s="16"/>
      </tp>
      <tp t="s">
        <v>#N/A Requesting Data...2517303671</v>
        <stp/>
        <stp>BDP|16244506920677704264</stp>
        <tr r="AS95" s="14"/>
      </tp>
      <tp t="s">
        <v>#N/A Requesting Data...3605583255</v>
        <stp/>
        <stp>BDP|17249065075572553676</stp>
        <tr r="AM26" s="14"/>
      </tp>
      <tp t="s">
        <v>#N/A Requesting Data...2062361186</v>
        <stp/>
        <stp>BDP|11941181155300069177</stp>
        <tr r="C37" s="14"/>
      </tp>
      <tp t="s">
        <v>#N/A Requesting Data...3602243630</v>
        <stp/>
        <stp>BDP|10643750934573470300</stp>
        <tr r="H56" s="16"/>
        <tr r="H56" s="16"/>
        <tr r="F58" s="14"/>
        <tr r="F58" s="14"/>
      </tp>
      <tp t="s">
        <v>#N/A Requesting Data...3765174128</v>
        <stp/>
        <stp>BDP|14759176552367976381</stp>
        <tr r="G10" s="16"/>
      </tp>
      <tp t="s">
        <v>#N/A Requesting Data...4037771073</v>
        <stp/>
        <stp>BDP|13995208723825973208</stp>
        <tr r="AO31" s="14"/>
        <tr r="AO31" s="14"/>
      </tp>
      <tp t="s">
        <v>#N/A Requesting Data...2431415683</v>
        <stp/>
        <stp>BDP|15795404413223357750</stp>
        <tr r="E20" s="1"/>
      </tp>
      <tp t="s">
        <v>#N/A Requesting Data...2927714062</v>
        <stp/>
        <stp>BDP|16075331068013824417</stp>
        <tr r="G54" s="14"/>
      </tp>
      <tp t="s">
        <v>#N/A Requesting Data...3527795821</v>
        <stp/>
        <stp>BDP|14836696403735514351</stp>
        <tr r="AS87" s="14"/>
      </tp>
      <tp t="s">
        <v>#N/A N/A</v>
        <stp/>
        <stp>BDP|12613185957194252692</stp>
        <tr r="T11" s="7"/>
      </tp>
      <tp t="s">
        <v>#N/A N/A</v>
        <stp/>
        <stp>BDP|12466861354613056846</stp>
        <tr r="I19" s="6"/>
      </tp>
      <tp t="s">
        <v>#N/A Requesting Data...2831428589</v>
        <stp/>
        <stp>BDP|15758688363408906979</stp>
        <tr r="E101" s="16"/>
      </tp>
      <tp t="s">
        <v>#N/A N/A</v>
        <stp/>
        <stp>BDP|17106300511397357616</stp>
        <tr r="J84" s="16"/>
        <tr r="J86" s="16"/>
        <tr r="J87" s="16"/>
      </tp>
      <tp t="s">
        <v>#N/A Requesting Data...3977203584</v>
        <stp/>
        <stp>BDP|18174803242651443151</stp>
        <tr r="AN76" s="14"/>
      </tp>
      <tp t="s">
        <v>#N/A N/A</v>
        <stp/>
        <stp>BDP|17093065732915312552</stp>
        <tr r="T77" s="14"/>
        <tr r="T77" s="14"/>
      </tp>
      <tp t="s">
        <v>#N/A Requesting Data...2415502672</v>
        <stp/>
        <stp>BDP|11210360023390730424</stp>
        <tr r="F97" s="14"/>
        <tr r="F97" s="14"/>
        <tr r="H95" s="16"/>
        <tr r="H95" s="16"/>
      </tp>
      <tp t="s">
        <v>#N/A N/A</v>
        <stp/>
        <stp>BDP|11210917799795035086</stp>
        <tr r="N16" s="6"/>
      </tp>
      <tp t="s">
        <v>#N/A N/A</v>
        <stp/>
        <stp>BDP|11091711549983839559</stp>
        <tr r="AC18" s="1"/>
      </tp>
      <tp t="s">
        <v>#N/A Requesting Data...1915461411</v>
        <stp/>
        <stp>BDP|17875400710813461592</stp>
        <tr r="C43" s="14"/>
      </tp>
      <tp t="s">
        <v>#N/A Requesting Data...2401248105</v>
        <stp/>
        <stp>BDP|17491841801708266363</stp>
        <tr r="AQ100" s="14"/>
      </tp>
      <tp t="s">
        <v>#N/A Requesting Data...3943625725</v>
        <stp/>
        <stp>BDP|12640326653639338918</stp>
        <tr r="AS100" s="14"/>
      </tp>
      <tp t="s">
        <v>#N/A Requesting Data...4258814763</v>
        <stp/>
        <stp>BDP|10161816980085439110</stp>
        <tr r="AU62" s="14"/>
      </tp>
      <tp t="s">
        <v>#N/A N/A</v>
        <stp/>
        <stp>BDP|17416666367044664762</stp>
        <tr r="G15" s="1"/>
      </tp>
      <tp t="s">
        <v>#N/A Requesting Data...3356386278</v>
        <stp/>
        <stp>BDP|12585040529761892555</stp>
        <tr r="H52" s="14"/>
      </tp>
      <tp t="s">
        <v>#N/A N/A</v>
        <stp/>
        <stp>BDP|16361482449384423637</stp>
        <tr r="W15" s="6"/>
      </tp>
      <tp t="s">
        <v>#N/A Requesting Data...2027005453</v>
        <stp/>
        <stp>BDP|18300737140469612630</stp>
        <tr r="AS47" s="14"/>
      </tp>
      <tp t="s">
        <v>#N/A Requesting Data...4208297657</v>
        <stp/>
        <stp>BDP|16146463672449040805</stp>
        <tr r="H71" s="14"/>
      </tp>
      <tp t="s">
        <v>#N/A Requesting Data...1975111535</v>
        <stp/>
        <stp>BDP|17239925911578781339</stp>
        <tr r="AE27" s="14"/>
      </tp>
      <tp t="s">
        <v>#N/A Requesting Data...2059174805</v>
        <stp/>
        <stp>BDP|12459312676473713112</stp>
        <tr r="AP14" s="14"/>
      </tp>
      <tp t="s">
        <v>#N/A Requesting Data...2063430778</v>
        <stp/>
        <stp>BDP|15996610424853845615</stp>
        <tr r="AR109" s="14"/>
      </tp>
      <tp t="s">
        <v>#N/A N/A</v>
        <stp/>
        <stp>BDP|11535114727900332658</stp>
        <tr r="R14" s="4"/>
      </tp>
      <tp t="s">
        <v>#N/A Requesting Data...3558555058</v>
        <stp/>
        <stp>BDP|12570045671057086641</stp>
        <tr r="F42" s="16"/>
      </tp>
      <tp t="s">
        <v>#N/A Requesting Data...3938007416</v>
        <stp/>
        <stp>BDP|12684476973975649009</stp>
        <tr r="H103" s="14"/>
      </tp>
      <tp t="s">
        <v>#N/A Requesting Data...3312282550</v>
        <stp/>
        <stp>BDP|18201738448198447794</stp>
        <tr r="AP12" s="14"/>
      </tp>
      <tp t="s">
        <v>#N/A N/A</v>
        <stp/>
        <stp>BDP|10175965703679089403</stp>
        <tr r="V107" s="14"/>
      </tp>
      <tp t="s">
        <v>#N/A Requesting Data...3194190769</v>
        <stp/>
        <stp>BDP|10816219494507835811</stp>
        <tr r="D18" s="1"/>
      </tp>
      <tp t="s">
        <v>#N/A Requesting Data...2957309110</v>
        <stp/>
        <stp>BDP|14876987892042345259</stp>
        <tr r="AE98" s="14"/>
      </tp>
      <tp t="s">
        <v>#N/A N/A</v>
        <stp/>
        <stp>BDP|18088654373658315517</stp>
        <tr r="K41" s="16"/>
      </tp>
      <tp t="s">
        <v>#N/A Requesting Data...2762937869</v>
        <stp/>
        <stp>BDP|17690543086708883686</stp>
        <tr r="AD106" s="14"/>
      </tp>
      <tp t="s">
        <v>#N/A Requesting Data...3417956465</v>
        <stp/>
        <stp>BDP|10916795626103349213</stp>
        <tr r="K83" s="14"/>
      </tp>
      <tp t="s">
        <v>#N/A Requesting Data...2348029090</v>
        <stp/>
        <stp>BDP|11573149530855373261</stp>
        <tr r="AB30" s="14"/>
        <tr r="AB30" s="14"/>
      </tp>
      <tp t="s">
        <v>#N/A N/A</v>
        <stp/>
        <stp>BDP|15677039092941777944</stp>
        <tr r="T41" s="14"/>
        <tr r="T41" s="14"/>
      </tp>
      <tp t="s">
        <v>#N/A Requesting Data...3300652397</v>
        <stp/>
        <stp>BDP|12634859483876417007</stp>
        <tr r="C74" s="12"/>
      </tp>
      <tp t="s">
        <v>#N/A Requesting Data...2061464477</v>
        <stp/>
        <stp>BDP|10147648934228252940</stp>
        <tr r="D19" s="1"/>
      </tp>
      <tp t="s">
        <v>#N/A Requesting Data...3028062308</v>
        <stp/>
        <stp>BDP|10537777859442517498</stp>
        <tr r="G73" s="14"/>
      </tp>
      <tp t="s">
        <v>#N/A Requesting Data...3211216248</v>
        <stp/>
        <stp>BDP|15250675435447396345</stp>
        <tr r="AU15" s="14"/>
      </tp>
      <tp t="s">
        <v>#N/A Requesting Data...3768672497</v>
        <stp/>
        <stp>BDP|14469301762497440258</stp>
        <tr r="AD40" s="14"/>
      </tp>
      <tp t="s">
        <v>#N/A N/A</v>
        <stp/>
        <stp>BDP|11332179446576513601</stp>
        <tr r="L12" s="16"/>
        <tr r="L13" s="16"/>
        <tr r="L94" s="16"/>
      </tp>
      <tp t="s">
        <v>#N/A Requesting Data...4112030719</v>
        <stp/>
        <stp>BDP|10089683179133676603</stp>
        <tr r="AS96" s="14"/>
      </tp>
      <tp t="s">
        <v>#N/A Requesting Data...3017268262</v>
        <stp/>
        <stp>BDP|10894208475997927638</stp>
        <tr r="AL62" s="14"/>
      </tp>
      <tp t="s">
        <v>#N/A Requesting Data...4169218372</v>
        <stp/>
        <stp>BDP|14898289904704483678</stp>
        <tr r="G38" s="16"/>
      </tp>
      <tp t="s">
        <v>#N/A Requesting Data...3865444641</v>
        <stp/>
        <stp>BDP|11210911285185049113</stp>
        <tr r="AP83" s="14"/>
      </tp>
      <tp t="s">
        <v>#N/A N/A</v>
        <stp/>
        <stp>BDP|14474372421345219472</stp>
        <tr r="F16" s="1"/>
      </tp>
      <tp t="s">
        <v>#N/A N/A</v>
        <stp/>
        <stp>BDP|15580759866225746563</stp>
        <tr r="U15" s="6"/>
      </tp>
      <tp t="s">
        <v>#N/A Requesting Data...3673418310</v>
        <stp/>
        <stp>BDP|13665708325614146658</stp>
        <tr r="AF36" s="14"/>
      </tp>
      <tp t="s">
        <v>#N/A Requesting Data...2500284803</v>
        <stp/>
        <stp>BDP|16651317046330231558</stp>
        <tr r="I37" s="14"/>
      </tp>
      <tp t="s">
        <v>#N/A Requesting Data...3477974433</v>
        <stp/>
        <stp>BDP|14749194068620076709</stp>
        <tr r="AO49" s="14"/>
        <tr r="AO49" s="14"/>
      </tp>
      <tp t="s">
        <v>#N/A Requesting Data...2435792386</v>
        <stp/>
        <stp>BDP|12089501971111204550</stp>
        <tr r="AD59" s="14"/>
      </tp>
      <tp t="s">
        <v>#N/A Requesting Data...3535645179</v>
        <stp/>
        <stp>BDP|14216079464196404036</stp>
        <tr r="E21" s="1"/>
      </tp>
      <tp t="s">
        <v>#N/A Requesting Data...4000828275</v>
        <stp/>
        <stp>BDP|17315730050613610208</stp>
        <tr r="D34" s="16"/>
        <tr r="E36" s="14"/>
      </tp>
      <tp t="s">
        <v>#N/A Requesting Data...4165454499</v>
        <stp/>
        <stp>BDP|15816609031451919561</stp>
        <tr r="I17" s="14"/>
        <tr r="I17" s="14"/>
      </tp>
      <tp t="s">
        <v>#N/A Requesting Data...3945880872</v>
        <stp/>
        <stp>BDP|16513296190529350094</stp>
        <tr r="AU91" s="14"/>
        <tr r="AU90" s="14"/>
      </tp>
      <tp t="s">
        <v>#N/A Requesting Data...3149771065</v>
        <stp/>
        <stp>BDP|13209778444782640619</stp>
        <tr r="AP60" s="14"/>
      </tp>
      <tp t="s">
        <v>#N/A N/A</v>
        <stp/>
        <stp>BDP|13383368981465166937</stp>
        <tr r="J37" s="14"/>
        <tr r="J37" s="14"/>
      </tp>
      <tp t="s">
        <v>#N/A Requesting Data...2227987054</v>
        <stp/>
        <stp>BDP|14918495575450333307</stp>
        <tr r="F73" s="16"/>
      </tp>
      <tp t="s">
        <v>#N/A N/A</v>
        <stp/>
        <stp>BDH|18010148061222647945</stp>
        <tr r="AI75" s="14"/>
        <tr r="AI77" s="14"/>
      </tp>
      <tp t="s">
        <v>#N/A N/A</v>
        <stp/>
        <stp>BDH|10961082098359689483</stp>
        <tr r="AE104" s="14"/>
      </tp>
      <tp t="s">
        <v>#N/A N/A</v>
        <stp/>
        <stp>BADDPERIODS|17916148123595833168</stp>
        <tr r="AH18" s="14"/>
      </tp>
      <tp t="s">
        <v>#N/A N/A</v>
        <stp/>
        <stp>BDH|10353454239430582367</stp>
        <tr r="AI55" s="14"/>
        <tr r="AI54" s="14"/>
      </tp>
      <tp t="s">
        <v>#N/A N/A</v>
        <stp/>
        <stp>BDH|11825380558294463706</stp>
        <tr r="Y17" s="6"/>
      </tp>
      <tp t="s">
        <v>#N/A N/A</v>
        <stp/>
        <stp>BADDPERIODS|13418638402662022740</stp>
        <tr r="AH17" s="14"/>
      </tp>
      <tp t="s">
        <v>#N/A N/A</v>
        <stp/>
        <stp>BADDPERIODS|15435016261333599007</stp>
        <tr r="AH81" s="14"/>
      </tp>
      <tp t="s">
        <v>#N/A N/A</v>
        <stp/>
        <stp>BADDPERIODS|13409550401580699659</stp>
        <tr r="AH51" s="14"/>
      </tp>
      <tp t="s">
        <v>#N/A N/A</v>
        <stp/>
        <stp>BADDPERIODS|11476247564270173565</stp>
        <tr r="AH80" s="14"/>
      </tp>
    </main>
    <main first="bofaddin.rtdserver">
      <tp t="s">
        <v>#N/A N/A</v>
        <stp/>
        <stp>BDP|15461439513460513581</stp>
        <tr r="X107" s="14"/>
      </tp>
      <tp t="s">
        <v>#N/A Requesting Data...2140496192</v>
        <stp/>
        <stp>BDP|14609183256184034119</stp>
        <tr r="AS64" s="14"/>
      </tp>
      <tp t="s">
        <v>#N/A Requesting Data...2495459093</v>
        <stp/>
        <stp>BDP|18280706680306937426</stp>
        <tr r="AT51" s="14"/>
      </tp>
      <tp t="s">
        <v>#N/A N/A</v>
        <stp/>
        <stp>BDP|14177447841366954749</stp>
        <tr r="B6" s="4"/>
      </tp>
      <tp t="s">
        <v>#N/A Requesting Data...4077112182</v>
        <stp/>
        <stp>BDP|13618508709671658209</stp>
        <tr r="AO53" s="14"/>
        <tr r="AO53" s="14"/>
      </tp>
      <tp t="s">
        <v>#N/A Requesting Data...3569117298</v>
        <stp/>
        <stp>BDP|12698574769734524049</stp>
        <tr r="AR43" s="14"/>
      </tp>
      <tp t="s">
        <v>#N/A Requesting Data...4060817690</v>
        <stp/>
        <stp>BDP|15200669269800406001</stp>
        <tr r="H74" s="16"/>
        <tr r="H74" s="16"/>
        <tr r="F76" s="14"/>
        <tr r="F76" s="14"/>
      </tp>
      <tp t="s">
        <v>#N/A Requesting Data...3809760978</v>
        <stp/>
        <stp>BDP|17468258940205183190</stp>
        <tr r="D97" s="12"/>
      </tp>
      <tp t="s">
        <v>#N/A Requesting Data...2190528165</v>
        <stp/>
        <stp>BDP|11951164233976448005</stp>
        <tr r="F43" s="16"/>
      </tp>
      <tp t="s">
        <v>#N/A Requesting Data...2499474436</v>
        <stp/>
        <stp>BDP|10542404940627988241</stp>
        <tr r="AU17" s="14"/>
      </tp>
      <tp t="s">
        <v>#N/A Requesting Data...3736307151</v>
        <stp/>
        <stp>BDP|17982963548178600795</stp>
        <tr r="I48" s="14"/>
        <tr r="I48" s="14"/>
      </tp>
      <tp t="s">
        <v>#N/A Requesting Data...3344199999</v>
        <stp/>
        <stp>BDP|17836810176198557529</stp>
        <tr r="F108" s="16"/>
      </tp>
      <tp t="s">
        <v>#N/A Requesting Data...3259488243</v>
        <stp/>
        <stp>BDP|14047326475002761789</stp>
        <tr r="H22" s="16"/>
        <tr r="H22" s="16"/>
        <tr r="F24" s="14"/>
        <tr r="F24" s="14"/>
      </tp>
      <tp t="s">
        <v>#N/A Requesting Data...2435088831</v>
        <stp/>
        <stp>BDP|16562521517191189698</stp>
        <tr r="I86" s="14"/>
      </tp>
      <tp t="s">
        <v>#N/A Requesting Data...4104811535</v>
        <stp/>
        <stp>BDP|11782407662963463595</stp>
        <tr r="D69" s="14"/>
        <tr r="C67" s="16"/>
      </tp>
      <tp t="s">
        <v>#N/A Requesting Data...3693083774</v>
        <stp/>
        <stp>BDP|12305286615263120748</stp>
        <tr r="AJ11" s="5"/>
      </tp>
      <tp t="s">
        <v>#N/A Requesting Data...4262472637</v>
        <stp/>
        <stp>BDP|17906439544913597104</stp>
        <tr r="I11" s="4"/>
      </tp>
      <tp t="s">
        <v>#N/A Requesting Data...2228925957</v>
        <stp/>
        <stp>BDP|14850295678001513573</stp>
        <tr r="C79" s="12"/>
      </tp>
      <tp t="s">
        <v>#N/A Requesting Data...3257267522</v>
        <stp/>
        <stp>BDP|11840847085185219101</stp>
        <tr r="G25" s="14"/>
      </tp>
      <tp t="s">
        <v>#N/A Requesting Data...3734311397</v>
        <stp/>
        <stp>BDP|15777713245456844501</stp>
        <tr r="G45" s="16"/>
      </tp>
      <tp t="s">
        <v>#N/A N/A</v>
        <stp/>
        <stp>BDP|12943192979891768041</stp>
        <tr r="S16" s="7"/>
      </tp>
      <tp t="s">
        <v>#N/A Requesting Data...2603106643</v>
        <stp/>
        <stp>BDP|15875149413271251174</stp>
        <tr r="AK97" s="14"/>
      </tp>
      <tp t="s">
        <v>#N/A N/A</v>
        <stp/>
        <stp>BDP|16427152828397378703</stp>
        <tr r="T48" s="14"/>
        <tr r="T48" s="14"/>
      </tp>
      <tp t="s">
        <v>#N/A N/A</v>
        <stp/>
        <stp>BDP|11151709208693787038</stp>
        <tr r="M14" s="1"/>
      </tp>
      <tp t="s">
        <v>#N/A Requesting Data...2552610133</v>
        <stp/>
        <stp>BDP|14982687236566354291</stp>
        <tr r="AK71" s="14"/>
      </tp>
      <tp t="s">
        <v>#N/A Requesting Data...2210260346</v>
        <stp/>
        <stp>BDP|18428989685314674823</stp>
        <tr r="AU87" s="14"/>
      </tp>
      <tp t="s">
        <v>#N/A Requesting Data...2471454544</v>
        <stp/>
        <stp>BDP|12728411074601920564</stp>
        <tr r="AP46" s="14"/>
      </tp>
      <tp t="s">
        <v>#N/A Requesting Data...2104280423</v>
        <stp/>
        <stp>BDP|16912026313531207377</stp>
        <tr r="AB95" s="14"/>
        <tr r="AB95" s="14"/>
      </tp>
      <tp t="s">
        <v>#N/A Requesting Data...2683718663</v>
        <stp/>
        <stp>BDP|11202281835764103132</stp>
        <tr r="AE107" s="14"/>
      </tp>
      <tp t="s">
        <v>#N/A Requesting Data...4058420877</v>
        <stp/>
        <stp>BDP|12484084412795218301</stp>
        <tr r="D60" s="12"/>
      </tp>
      <tp t="s">
        <v>#N/A N/A</v>
        <stp/>
        <stp>BDP|16899777764101659313</stp>
        <tr r="Z21" s="1"/>
      </tp>
      <tp t="s">
        <v>#N/A N/A</v>
        <stp/>
        <stp>BDP|11830329031261564527</stp>
        <tr r="U16" s="1"/>
      </tp>
      <tp t="s">
        <v>#N/A N/A</v>
        <stp/>
        <stp>BDP|11013631836512158388</stp>
        <tr r="W16" s="6"/>
      </tp>
      <tp t="s">
        <v>#N/A N/A</v>
        <stp/>
        <stp>BDP|15612937288302238339</stp>
        <tr r="G11" s="6"/>
      </tp>
      <tp t="s">
        <v>#N/A Requesting Data...3866136266</v>
        <stp/>
        <stp>BDP|17616143501276834571</stp>
        <tr r="C105" s="14"/>
      </tp>
      <tp t="s">
        <v>#N/A N/A</v>
        <stp/>
        <stp>BDS|15210325033740969055</stp>
        <tr r="AI62" s="14"/>
        <tr r="AI62" s="14"/>
        <tr r="AI61" s="14"/>
        <tr r="AI61" s="14"/>
        <tr r="AI67" s="14"/>
        <tr r="AI67" s="14"/>
      </tp>
      <tp t="s">
        <v>#N/A Requesting Data...2655382370</v>
        <stp/>
        <stp>BDP|16554271418502341255</stp>
        <tr r="AK27" s="14"/>
      </tp>
      <tp t="s">
        <v>#N/A Requesting Data...2332580140</v>
        <stp/>
        <stp>BDP|10871964183295054113</stp>
        <tr r="E30" s="16"/>
      </tp>
      <tp t="s">
        <v>#N/A N/A</v>
        <stp/>
        <stp>BDP|17408436159247457466</stp>
        <tr r="AA16" s="1"/>
      </tp>
      <tp t="s">
        <v>#N/A Requesting Data...3183355686</v>
        <stp/>
        <stp>BDP|10552784775521613423</stp>
        <tr r="H81" s="14"/>
      </tp>
      <tp t="s">
        <v>#N/A Requesting Data...2330086164</v>
        <stp/>
        <stp>BDP|17031217082111989968</stp>
        <tr r="C74" s="16"/>
        <tr r="D76" s="14"/>
      </tp>
      <tp t="s">
        <v>#N/A N/A</v>
        <stp/>
        <stp>BDP|12711535469525166103</stp>
        <tr r="V17" s="7"/>
      </tp>
      <tp t="s">
        <v>#N/A Requesting Data...3831982511</v>
        <stp/>
        <stp>BDP|12456109936486538380</stp>
        <tr r="AB86" s="14"/>
        <tr r="AB86" s="14"/>
      </tp>
      <tp t="s">
        <v>#N/A Requesting Data...2990474238</v>
        <stp/>
        <stp>BDP|13792483896309131271</stp>
        <tr r="K19" s="1"/>
      </tp>
      <tp t="s">
        <v>#N/A N/A</v>
        <stp/>
        <stp>BDP|11751663695329891237</stp>
        <tr r="T110" s="14"/>
        <tr r="T110" s="14"/>
      </tp>
      <tp t="s">
        <v>#N/A Requesting Data...2383741980</v>
        <stp/>
        <stp>BDP|14973239070261407517</stp>
        <tr r="AL12" s="14"/>
      </tp>
      <tp t="s">
        <v>#N/A Requesting Data...3477730626</v>
        <stp/>
        <stp>BDP|15875157657497691330</stp>
        <tr r="D72" s="12"/>
      </tp>
      <tp t="s">
        <v>#N/A Requesting Data...4139993141</v>
        <stp/>
        <stp>BDP|15905014604277574762</stp>
        <tr r="C104" s="14"/>
      </tp>
      <tp t="s">
        <v>#N/A Requesting Data...3973457683</v>
        <stp/>
        <stp>BDP|13913394940665662497</stp>
        <tr r="C92" s="12"/>
      </tp>
      <tp t="s">
        <v>#N/A N/A</v>
        <stp/>
        <stp>BDP|12389235965103354099</stp>
        <tr r="F15" s="6"/>
      </tp>
      <tp t="s">
        <v>#N/A Requesting Data...2656442617</v>
        <stp/>
        <stp>BDP|13228564024257850677</stp>
        <tr r="V59" s="14"/>
      </tp>
      <tp t="s">
        <v>#N/A Requesting Data...3853808966</v>
        <stp/>
        <stp>BDP|10897250090806723848</stp>
        <tr r="AH76" s="14"/>
      </tp>
      <tp t="s">
        <v>#N/A Requesting Data...3158831284</v>
        <stp/>
        <stp>BDP|16972939597734724740</stp>
        <tr r="AT21" s="14"/>
      </tp>
      <tp t="s">
        <v>#N/A Requesting Data...3048885050</v>
        <stp/>
        <stp>BDP|11995568650034337020</stp>
        <tr r="AL15" s="1"/>
      </tp>
      <tp t="s">
        <v>#N/A Requesting Data...3345798449</v>
        <stp/>
        <stp>BDP|17293999751316623820</stp>
        <tr r="AF12" s="14"/>
      </tp>
      <tp t="s">
        <v>#N/A N/A</v>
        <stp/>
        <stp>BDP|14745861744764917923</stp>
        <tr r="P24" s="7"/>
      </tp>
      <tp t="s">
        <v>#N/A Requesting Data...3977471654</v>
        <stp/>
        <stp>BDP|12838304273172181149</stp>
        <tr r="AR38" s="14"/>
      </tp>
      <tp t="s">
        <v>#N/A Requesting Data...2992977197</v>
        <stp/>
        <stp>BDP|11215946981521923406</stp>
        <tr r="I28" s="14"/>
        <tr r="I28" s="14"/>
      </tp>
      <tp t="s">
        <v>#N/A N/A</v>
        <stp/>
        <stp>BDP|10508075244775944413</stp>
        <tr r="G13" s="4"/>
      </tp>
      <tp t="s">
        <v>#N/A Requesting Data...2585633944</v>
        <stp/>
        <stp>BDP|15161078983689355189</stp>
        <tr r="AD65" s="14"/>
      </tp>
      <tp t="s">
        <v>#N/A N/A</v>
        <stp/>
        <stp>BDP|17413141499568088287</stp>
        <tr r="AH51" s="14"/>
        <tr r="AH51" s="14"/>
      </tp>
      <tp t="s">
        <v>#N/A Requesting Data...2502043708</v>
        <stp/>
        <stp>BDP|12324748945967626359</stp>
        <tr r="AS57" s="14"/>
      </tp>
      <tp t="s">
        <v>#N/A N/A</v>
        <stp/>
        <stp>BDP|13806701218264595444</stp>
        <tr r="V15" s="7"/>
      </tp>
      <tp t="s">
        <v>#N/A Requesting Data...4282121393</v>
        <stp/>
        <stp>BDP|15341961742704460929</stp>
        <tr r="C75" s="14"/>
      </tp>
      <tp t="s">
        <v>#N/A Requesting Data...3668985142</v>
        <stp/>
        <stp>BDP|16564434960688706907</stp>
        <tr r="AF79" s="14"/>
      </tp>
      <tp t="s">
        <v>#N/A Requesting Data...2804686826</v>
        <stp/>
        <stp>BDP|12544870086411438611</stp>
        <tr r="D89" s="12"/>
      </tp>
      <tp t="s">
        <v>#N/A Requesting Data...2528721614</v>
        <stp/>
        <stp>BDP|13055242754085773460</stp>
        <tr r="AD53" s="14"/>
      </tp>
      <tp t="s">
        <v>#N/A Requesting Data...3228109896</v>
        <stp/>
        <stp>BDP|11174824942511846982</stp>
        <tr r="AP43" s="14"/>
      </tp>
      <tp t="s">
        <v>#N/A Requesting Data...2792461910</v>
        <stp/>
        <stp>BDP|10141148847087537776</stp>
        <tr r="K87" s="14"/>
      </tp>
      <tp t="s">
        <v>#N/A Requesting Data...3187506912</v>
        <stp/>
        <stp>BDP|10311335037211276458</stp>
        <tr r="AF72" s="14"/>
      </tp>
      <tp t="s">
        <v>#N/A Requesting Data...3280195047</v>
        <stp/>
        <stp>BDP|15464106873881244755</stp>
        <tr r="G64" s="14"/>
      </tp>
      <tp t="s">
        <v>#N/A N/A</v>
        <stp/>
        <stp>BDP|14544257804775491602</stp>
        <tr r="W18" s="6"/>
      </tp>
      <tp t="s">
        <v>#N/A Requesting Data...3634600643</v>
        <stp/>
        <stp>BDP|16772122286092523862</stp>
        <tr r="F37" s="16"/>
      </tp>
      <tp t="s">
        <v>#N/A Requesting Data...3147466542</v>
        <stp/>
        <stp>BDP|14511705551230465338</stp>
        <tr r="AL101" s="14"/>
      </tp>
      <tp t="s">
        <v>#N/A N/A</v>
        <stp/>
        <stp>BDP|17681839837130975988</stp>
        <tr r="AB19" s="1"/>
      </tp>
      <tp t="s">
        <v>#N/A N/A</v>
        <stp/>
        <stp>BDP|16617675941765147429</stp>
        <tr r="F14" s="7"/>
      </tp>
      <tp t="s">
        <v>#N/A Requesting Data...2315439430</v>
        <stp/>
        <stp>BDP|17714146374847201362</stp>
        <tr r="K26" s="14"/>
      </tp>
      <tp t="s">
        <v>#N/A N/A</v>
        <stp/>
        <stp>BDP|13929004337970567585</stp>
        <tr r="J108" s="14"/>
        <tr r="J108" s="14"/>
      </tp>
      <tp t="s">
        <v>#N/A Requesting Data...4170067425</v>
        <stp/>
        <stp>BDP|17184627313426205317</stp>
        <tr r="I67" s="14"/>
      </tp>
      <tp t="s">
        <v>#N/A N/A</v>
        <stp/>
        <stp>BDP|14343032810680114023</stp>
        <tr r="U13" s="1"/>
      </tp>
      <tp t="s">
        <v>#N/A Requesting Data...2669525676</v>
        <stp/>
        <stp>BDP|15414946265677271847</stp>
        <tr r="H23" s="16"/>
        <tr r="H23" s="16"/>
        <tr r="F25" s="14"/>
        <tr r="F25" s="14"/>
      </tp>
      <tp t="s">
        <v>#N/A Requesting Data...4063089399</v>
        <stp/>
        <stp>BDP|10959117836443460497</stp>
        <tr r="AF110" s="14"/>
      </tp>
      <tp t="s">
        <v>#N/A Requesting Data...3311341042</v>
        <stp/>
        <stp>BDP|13494665203063635349</stp>
        <tr r="G37" s="14"/>
      </tp>
      <tp t="s">
        <v>#N/A N/A</v>
        <stp/>
        <stp>BDP|13058568808183599083</stp>
        <tr r="L108" s="16"/>
        <tr r="L62" s="16"/>
        <tr r="L57" s="16"/>
      </tp>
      <tp t="s">
        <v>#N/A Requesting Data...3922030933</v>
        <stp/>
        <stp>BDP|14247103900800770070</stp>
        <tr r="AE70" s="14"/>
      </tp>
      <tp t="s">
        <v>#N/A Requesting Data...3387600819</v>
        <stp/>
        <stp>BDP|13500249953738208926</stp>
        <tr r="AN32" s="14"/>
      </tp>
      <tp t="s">
        <v>#N/A Requesting Data...2258830700</v>
        <stp/>
        <stp>BDP|11774526535121479368</stp>
        <tr r="AU54" s="14"/>
      </tp>
      <tp t="s">
        <v>#N/A Requesting Data...3566143425</v>
        <stp/>
        <stp>BDP|12629713170924662332</stp>
        <tr r="V47" s="14"/>
      </tp>
      <tp t="s">
        <v>#N/A N/A</v>
        <stp/>
        <stp>BDP|12565131904545375337</stp>
        <tr r="G11" s="5"/>
      </tp>
      <tp t="s">
        <v>#N/A Requesting Data...3735827018</v>
        <stp/>
        <stp>BDP|14094858989889683880</stp>
        <tr r="AB23" s="14"/>
        <tr r="AB23" s="14"/>
      </tp>
      <tp t="s">
        <v>#N/A Requesting Data...2997144767</v>
        <stp/>
        <stp>BDP|13228503421486849791</stp>
        <tr r="C27" s="16"/>
        <tr r="D29" s="14"/>
      </tp>
      <tp t="s">
        <v>#N/A Requesting Data...3652374684</v>
        <stp/>
        <stp>BDP|13031142533722056653</stp>
        <tr r="I74" s="14"/>
        <tr r="I74" s="14"/>
      </tp>
      <tp t="s">
        <v>#N/A Requesting Data...3244384474</v>
        <stp/>
        <stp>BDP|13314385439155456347</stp>
        <tr r="AF17" s="14"/>
      </tp>
      <tp t="s">
        <v>#N/A Requesting Data...3387750299</v>
        <stp/>
        <stp>BDP|17577545311535763357</stp>
        <tr r="AE79" s="14"/>
      </tp>
      <tp t="s">
        <v>#N/A Requesting Data...3112680317</v>
        <stp/>
        <stp>BDP|11742200156716459573</stp>
        <tr r="AN18" s="14"/>
      </tp>
      <tp t="s">
        <v>#N/A Requesting Data...2515358219</v>
        <stp/>
        <stp>BDP|15320759261152476319</stp>
        <tr r="D81" s="14"/>
        <tr r="C79" s="16"/>
      </tp>
      <tp t="s">
        <v>#N/A Requesting Data...3430911989</v>
        <stp/>
        <stp>BDP|15339138770146179039</stp>
        <tr r="K99" s="14"/>
      </tp>
      <tp t="s">
        <v>#N/A Requesting Data...3138274601</v>
        <stp/>
        <stp>BDP|14288752326012654624</stp>
        <tr r="AM39" s="14"/>
      </tp>
      <tp t="s">
        <v>#N/A N/A</v>
        <stp/>
        <stp>BDP|11896832871089930260</stp>
        <tr r="Q105" s="14"/>
        <tr r="Q105" s="14"/>
      </tp>
      <tp t="s">
        <v>#N/A Requesting Data...2439106898</v>
        <stp/>
        <stp>BDP|10037762168112247699</stp>
        <tr r="D78" s="16"/>
        <tr r="E80" s="14"/>
      </tp>
      <tp t="s">
        <v>#N/A Requesting Data...3670068470</v>
        <stp/>
        <stp>BDP|12713344721955178368</stp>
        <tr r="AN92" s="14"/>
      </tp>
      <tp t="s">
        <v>#N/A N/A</v>
        <stp/>
        <stp>BDS|17643134325965781410</stp>
        <tr r="AI23" s="14"/>
        <tr r="AI23" s="14"/>
      </tp>
      <tp t="s">
        <v>#N/A Requesting Data...4123961250</v>
        <stp/>
        <stp>BDP|14390028956525356116</stp>
        <tr r="AR65" s="14"/>
      </tp>
      <tp t="s">
        <v>#N/A N/A</v>
        <stp/>
        <stp>BDP|15359497009090615404</stp>
        <tr r="T72" s="14"/>
        <tr r="T72" s="14"/>
      </tp>
      <tp t="s">
        <v>#N/A Requesting Data...3740386691</v>
        <stp/>
        <stp>BDP|15280540772552825099</stp>
        <tr r="C85" s="16"/>
        <tr r="D87" s="14"/>
      </tp>
      <tp t="s">
        <v>#N/A Requesting Data...2652654903</v>
        <stp/>
        <stp>BDP|11558910987630050560</stp>
        <tr r="AH45" s="14"/>
      </tp>
      <tp t="s">
        <v>#N/A Requesting Data...4253365771</v>
        <stp/>
        <stp>BDP|13321003107497947185</stp>
        <tr r="K40" s="14"/>
        <tr r="K40" s="14"/>
      </tp>
      <tp t="s">
        <v>#N/A Requesting Data...3843923568</v>
        <stp/>
        <stp>BDP|12902711834677944407</stp>
        <tr r="F72" s="14"/>
        <tr r="F72" s="14"/>
        <tr r="H70" s="16"/>
        <tr r="H70" s="16"/>
      </tp>
      <tp t="s">
        <v>#N/A Requesting Data...4238800554</v>
        <stp/>
        <stp>BDP|16109394539272703132</stp>
        <tr r="K107" s="14"/>
        <tr r="K107" s="14"/>
      </tp>
      <tp t="s">
        <v>#N/A N/A</v>
        <stp/>
        <stp>BDP|10305307469829718995</stp>
        <tr r="AB15" s="1"/>
      </tp>
      <tp t="s">
        <v>#N/A Requesting Data...2342999203</v>
        <stp/>
        <stp>BDP|15621538603231354416</stp>
        <tr r="E47" s="14"/>
        <tr r="D45" s="16"/>
      </tp>
      <tp t="s">
        <v>#N/A Requesting Data...2755674165</v>
        <stp/>
        <stp>BDP|13450689182541914937</stp>
        <tr r="AS33" s="14"/>
      </tp>
      <tp t="s">
        <v>#N/A Requesting Data...2972922304</v>
        <stp/>
        <stp>BDP|16630689328011614646</stp>
        <tr r="AP41" s="14"/>
      </tp>
      <tp t="s">
        <v>#N/A N/A</v>
        <stp/>
        <stp>BDP|14000029422790058348</stp>
        <tr r="S12" s="4"/>
      </tp>
      <tp t="s">
        <v>#N/A N/A</v>
        <stp/>
        <stp>BDS|11177961488850189594</stp>
        <tr r="AI110" s="14"/>
        <tr r="AI110" s="14"/>
      </tp>
      <tp t="s">
        <v>#N/A Requesting Data...3965336669</v>
        <stp/>
        <stp>BDP|17783763311082090640</stp>
        <tr r="AU40" s="14"/>
      </tp>
      <tp t="s">
        <v>#N/A Requesting Data...2894725434</v>
        <stp/>
        <stp>BDP|13035937166761911880</stp>
        <tr r="E16" s="16"/>
      </tp>
      <tp t="s">
        <v>#N/A N/A</v>
        <stp/>
        <stp>BDP|17970612362520608287</stp>
        <tr r="AC11" s="4"/>
      </tp>
      <tp t="s">
        <v>#N/A Requesting Data...2882033257</v>
        <stp/>
        <stp>BDP|15595580445186872748</stp>
        <tr r="AQ30" s="14"/>
      </tp>
      <tp t="s">
        <v>#N/A Requesting Data...3856939826</v>
        <stp/>
        <stp>BDP|17541228306978762825</stp>
        <tr r="H15" s="16"/>
        <tr r="H15" s="16"/>
        <tr r="F17" s="14"/>
        <tr r="F17" s="14"/>
      </tp>
      <tp t="s">
        <v>#N/A N/A</v>
        <stp/>
        <stp>BDP|10027848030067652969</stp>
        <tr r="S15" s="1"/>
      </tp>
      <tp t="s">
        <v>#N/A N/A</v>
        <stp/>
        <stp>BDP|16161173177493719618</stp>
        <tr r="E6" s="5"/>
      </tp>
      <tp t="s">
        <v>#N/A N/A</v>
        <stp/>
        <stp>BDS|11277022280314592812</stp>
        <tr r="AI106" s="14"/>
        <tr r="AI106" s="14"/>
      </tp>
      <tp t="s">
        <v>#N/A N/A</v>
        <stp/>
        <stp>BDP|11991572764186524184</stp>
        <tr r="I37" s="16"/>
        <tr r="I45" s="16"/>
      </tp>
      <tp t="s">
        <v>#N/A Requesting Data...3087986485</v>
        <stp/>
        <stp>BDP|10825691967800904589</stp>
        <tr r="V80" s="14"/>
      </tp>
      <tp t="s">
        <v>#N/A Requesting Data...3487783257</v>
        <stp/>
        <stp>BDP|11976749065104853178</stp>
        <tr r="H84" s="16"/>
        <tr r="H84" s="16"/>
        <tr r="F86" s="14"/>
        <tr r="F86" s="14"/>
      </tp>
      <tp t="s">
        <v>#N/A Requesting Data...2999417925</v>
        <stp/>
        <stp>BDP|15899885302950166842</stp>
        <tr r="AK48" s="14"/>
      </tp>
      <tp t="s">
        <v>#N/A Requesting Data...3470562896</v>
        <stp/>
        <stp>BDP|14178226114313856187</stp>
        <tr r="C16" s="14"/>
      </tp>
      <tp t="s">
        <v>#N/A N/A</v>
        <stp/>
        <stp>BDP|13463538916763248156</stp>
        <tr r="J43" s="14"/>
        <tr r="J43" s="14"/>
      </tp>
      <tp t="s">
        <v>#N/A Requesting Data...4001221646</v>
        <stp/>
        <stp>BDP|12157953897370342768</stp>
        <tr r="AD72" s="14"/>
      </tp>
      <tp t="s">
        <v>#N/A Requesting Data...3791600393</v>
        <stp/>
        <stp>BDP|18348300290642694533</stp>
        <tr r="H66" s="14"/>
      </tp>
      <tp t="s">
        <v>#N/A Requesting Data...2955318633</v>
        <stp/>
        <stp>BDP|17110468982516596869</stp>
        <tr r="AQ69" s="14"/>
      </tp>
      <tp t="s">
        <v>#N/A Requesting Data...4120880166</v>
        <stp/>
        <stp>BDP|13086145211227583164</stp>
        <tr r="AT36" s="14"/>
      </tp>
      <tp t="s">
        <v>#N/A N/A</v>
        <stp/>
        <stp>BDP|11382721096983366924</stp>
        <tr r="Z15" s="1"/>
      </tp>
      <tp t="s">
        <v>#N/A Requesting Data...3086968078</v>
        <stp/>
        <stp>BDP|11036879185582690624</stp>
        <tr r="H75" s="16"/>
        <tr r="H75" s="16"/>
        <tr r="F77" s="14"/>
        <tr r="F77" s="14"/>
      </tp>
      <tp t="s">
        <v>#N/A Requesting Data...3988026312</v>
        <stp/>
        <stp>BDP|12417770044320302423</stp>
        <tr r="AE23" s="14"/>
      </tp>
      <tp t="s">
        <v>#N/A N/A</v>
        <stp/>
        <stp>BDP|14387014715726583645</stp>
        <tr r="F25" s="7"/>
      </tp>
      <tp t="s">
        <v>#N/A Requesting Data...3454805103</v>
        <stp/>
        <stp>BDP|15656230993753704877</stp>
        <tr r="AR103" s="14"/>
      </tp>
      <tp t="s">
        <v>#N/A Requesting Data...4205955488</v>
        <stp/>
        <stp>BDP|12586640028826965563</stp>
        <tr r="C30" s="14"/>
      </tp>
      <tp t="s">
        <v>#N/A Requesting Data...3835607189</v>
        <stp/>
        <stp>BDP|15269984988639282869</stp>
        <tr r="H102" s="16"/>
        <tr r="H102" s="16"/>
        <tr r="F104" s="14"/>
        <tr r="F104" s="14"/>
      </tp>
      <tp t="s">
        <v>#N/A Requesting Data...2987223851</v>
        <stp/>
        <stp>BDP|11802247778508777951</stp>
        <tr r="AM79" s="14"/>
      </tp>
      <tp t="s">
        <v>#N/A N/A</v>
        <stp/>
        <stp>BDH|16268462644451673272</stp>
        <tr r="AI58" s="14"/>
      </tp>
      <tp t="s">
        <v>#N/A N/A</v>
        <stp/>
        <stp>BDH|12599431430287072750</stp>
        <tr r="AI86" s="14"/>
      </tp>
      <tp t="s">
        <v>#N/A N/A</v>
        <stp/>
        <stp>BDH|15723573342102764365</stp>
        <tr r="AI28" s="14"/>
      </tp>
      <tp t="s">
        <v>#N/A N/A</v>
        <stp/>
        <stp>BDH|15075152250571440526</stp>
        <tr r="Y11" s="6"/>
      </tp>
      <tp t="s">
        <v>#N/A N/A</v>
        <stp/>
        <stp>BDH|11104289268179682925</stp>
        <tr r="W16" s="7"/>
      </tp>
      <tp t="s">
        <v>#N/A N/A</v>
        <stp/>
        <stp>BDH|15138817121068155244</stp>
        <tr r="AI20" s="14"/>
      </tp>
      <tp t="s">
        <v>#N/A N/A</v>
        <stp/>
        <stp>BDH|17223597911730389611</stp>
        <tr r="AE49" s="14"/>
      </tp>
      <tp t="s">
        <v>#N/A N/A</v>
        <stp/>
        <stp>BADDPERIODS|12160155364444163042</stp>
        <tr r="AH67" s="14"/>
      </tp>
      <tp t="s">
        <v>#N/A N/A</v>
        <stp/>
        <stp>BADDPERIODS|12142012747231610645</stp>
        <tr r="AH28" s="14"/>
      </tp>
      <tp t="s">
        <v>#N/A N/A</v>
        <stp/>
        <stp>BDH|13807713402300334154</stp>
        <tr r="AI95" s="14"/>
        <tr r="AI85" s="14"/>
      </tp>
      <tp t="s">
        <v>#N/A N/A</v>
        <stp/>
        <stp>BADDPERIODS|16779978603458638674</stp>
        <tr r="AH93" s="14"/>
      </tp>
    </main>
    <main first="bofaddin.rtdserver">
      <tp t="s">
        <v>#N/A N/A</v>
        <stp/>
        <stp>BDP|6657772756168932</stp>
        <tr r="I99" s="16"/>
      </tp>
      <tp t="s">
        <v>#N/A N/A</v>
        <stp/>
        <stp>BDH|4652767624945901</stp>
        <tr r="X19" s="6"/>
      </tp>
      <tp t="s">
        <v>#N/A Requesting Data...4080580586</v>
        <stp/>
        <stp>BDP|8714463590744723</stp>
        <tr r="H70" s="14"/>
      </tp>
    </main>
    <main first="bofaddin.rtdserver">
      <tp t="s">
        <v>8/15/2010</v>
        <stp/>
        <stp>BDP|0|22</stp>
        <stp>EF232338 Corp</stp>
        <stp>maturity</stp>
        <tr r="AI14" s="14"/>
        <tr r="AI15" s="14"/>
        <tr r="AI11" s="14"/>
        <tr r="AI12" s="14"/>
        <tr r="AI13" s="14"/>
      </tp>
    </main>
    <main first="bofaddin.rtdserver">
      <tp t="s">
        <v>5/15/2015</v>
        <stp/>
        <stp>BDP|0|22</stp>
        <stp>ED182911 Corp</stp>
        <stp>maturity</stp>
        <tr r="AI14" s="14"/>
        <tr r="AI97" s="14"/>
        <tr r="AI102" s="14"/>
        <tr r="AI22" s="14"/>
        <tr r="AI59" s="14"/>
        <tr r="AI34" s="14"/>
        <tr r="AI62" s="14"/>
        <tr r="AI19" s="14"/>
        <tr r="AI49" s="14"/>
        <tr r="AI24" s="14"/>
        <tr r="AI15" s="14"/>
        <tr r="AI106" s="14"/>
        <tr r="AI101" s="14"/>
        <tr r="AI17" s="14"/>
        <tr r="AI110" s="14"/>
        <tr r="AI109" s="14"/>
        <tr r="AI108" s="14"/>
        <tr r="AI11" s="14"/>
        <tr r="AI12" s="14"/>
        <tr r="AI16" s="14"/>
        <tr r="AI13" s="14"/>
        <tr r="AI42" s="14"/>
        <tr r="AI56" s="14"/>
        <tr r="AI57" s="14"/>
        <tr r="AI18" s="14"/>
        <tr r="AI60" s="14"/>
        <tr r="AI43" s="14"/>
        <tr r="AI61" s="14"/>
        <tr r="AI26" s="14"/>
        <tr r="AI32" s="14"/>
        <tr r="AI75" s="14"/>
        <tr r="AI73" s="14"/>
        <tr r="AI103" s="14"/>
        <tr r="AI65" s="14"/>
        <tr r="AI83" s="14"/>
        <tr r="AI70" s="14"/>
        <tr r="AI76" s="14"/>
        <tr r="AI25" s="14"/>
        <tr r="AI29" s="14"/>
        <tr r="AI31" s="14"/>
        <tr r="AI38" s="14"/>
        <tr r="AI39" s="14"/>
        <tr r="AI41" s="14"/>
        <tr r="AI98" s="14"/>
        <tr r="AI105" s="14"/>
        <tr r="AI104" s="14"/>
        <tr r="AI100" s="14"/>
        <tr r="AI71" s="14"/>
        <tr r="AI47" s="14"/>
        <tr r="AI30" s="14"/>
        <tr r="AI46" s="14"/>
        <tr r="AI35" s="14"/>
        <tr r="AI95" s="14"/>
        <tr r="AI45" s="14"/>
        <tr r="AI99" s="14"/>
        <tr r="AI44" s="14"/>
        <tr r="AI107" s="14"/>
        <tr r="AI50" s="14"/>
        <tr r="AI66" s="14"/>
        <tr r="AI53" s="14"/>
        <tr r="AI69" s="14"/>
        <tr r="AI28" s="14"/>
        <tr r="AI67" s="14"/>
        <tr r="AI36" s="14"/>
        <tr r="AI94" s="14"/>
        <tr r="AI55" s="14"/>
        <tr r="AI85" s="14"/>
        <tr r="AI74" s="14"/>
        <tr r="AI48" s="14"/>
        <tr r="AI81" s="14"/>
        <tr r="AI91" s="14"/>
        <tr r="AI51" s="14"/>
        <tr r="AI37" s="14"/>
        <tr r="AI77" s="14"/>
        <tr r="AI27" s="14"/>
        <tr r="AI52" s="14"/>
        <tr r="AI63" s="14"/>
        <tr r="AI80" s="14"/>
        <tr r="AI33" s="14"/>
        <tr r="AI54" s="14"/>
        <tr r="AI21" s="14"/>
        <tr r="AI72" s="14"/>
        <tr r="AI86" s="14"/>
        <tr r="AI64" s="14"/>
        <tr r="AI58" s="14"/>
        <tr r="AI87" s="14"/>
        <tr r="AI20" s="14"/>
        <tr r="AI68" s="14"/>
        <tr r="AI84" s="14"/>
        <tr r="AI40" s="14"/>
        <tr r="AI79" s="14"/>
        <tr r="AI93" s="14"/>
        <tr r="AI90" s="14"/>
        <tr r="AI92" s="14"/>
        <tr r="AI23" s="14"/>
        <tr r="AI88" s="14"/>
        <tr r="AI89" s="14"/>
        <tr r="AI78" s="14"/>
        <tr r="AI96" s="14"/>
        <tr r="AI82" s="14"/>
      </tp>
      <tp t="s">
        <v>#N/A N/A</v>
        <stp/>
        <stp>BCHAIN|484845274587540664</stp>
        <tr r="B11" s="1"/>
      </tp>
    </main>
    <main first="bofaddin.rtdserver">
      <tp t="s">
        <v>11/15/2011</v>
        <stp/>
        <stp>BDP|0|22</stp>
        <stp>EH686910 Corp</stp>
        <stp>maturity</stp>
        <tr r="AI17" s="14"/>
        <tr r="AI16" s="14"/>
      </tp>
    </main>
    <main first="bofaddin.rtdserver">
      <tp t="s">
        <v>11/15/2013</v>
        <stp/>
        <stp>BDP|0|22</stp>
        <stp>EF190277 Corp</stp>
        <stp>maturity</stp>
        <tr r="AI11" s="14"/>
      </tp>
    </main>
    <main first="bofaddin.rtdserver">
      <tp t="s">
        <v>8/15/2024</v>
        <stp/>
        <stp>BDP|0|22</stp>
        <stp>ED182915 Corp</stp>
        <stp>maturity</stp>
        <tr r="AI14" s="14"/>
        <tr r="AI22" s="14"/>
        <tr r="AI34" s="14"/>
        <tr r="AI19" s="14"/>
        <tr r="AI24" s="14"/>
        <tr r="AI15" s="14"/>
        <tr r="AI17" s="14"/>
        <tr r="AI11" s="14"/>
        <tr r="AI12" s="14"/>
        <tr r="AI16" s="14"/>
        <tr r="AI13" s="14"/>
        <tr r="AI18" s="14"/>
        <tr r="AI26" s="14"/>
        <tr r="AI32" s="14"/>
        <tr r="AI25" s="14"/>
        <tr r="AI29" s="14"/>
        <tr r="AI31" s="14"/>
        <tr r="AI30" s="14"/>
        <tr r="AI35" s="14"/>
        <tr r="AI28" s="14"/>
        <tr r="AI37" s="14"/>
        <tr r="AI27" s="14"/>
        <tr r="AI21" s="14"/>
        <tr r="AI20" s="14"/>
        <tr r="AI23" s="14"/>
      </tp>
    </main>
    <main first="bofaddin.rtdserver">
      <tp t="s">
        <v>5/15/2013</v>
        <stp/>
        <stp>BDP|0|22</stp>
        <stp>EH150949 Corp</stp>
        <stp>maturity</stp>
        <tr r="AI14" s="14"/>
        <tr r="AI22" s="14"/>
        <tr r="AI59" s="14"/>
        <tr r="AI34" s="14"/>
        <tr r="AI62" s="14"/>
        <tr r="AI19" s="14"/>
        <tr r="AI49" s="14"/>
        <tr r="AI24" s="14"/>
        <tr r="AI15" s="14"/>
        <tr r="AI17" s="14"/>
        <tr r="AI12" s="14"/>
        <tr r="AI16" s="14"/>
        <tr r="AI13" s="14"/>
        <tr r="AI42" s="14"/>
        <tr r="AI56" s="14"/>
        <tr r="AI57" s="14"/>
        <tr r="AI18" s="14"/>
        <tr r="AI60" s="14"/>
        <tr r="AI43" s="14"/>
        <tr r="AI61" s="14"/>
        <tr r="AI26" s="14"/>
        <tr r="AI32" s="14"/>
        <tr r="AI75" s="14"/>
        <tr r="AI73" s="14"/>
        <tr r="AI65" s="14"/>
        <tr r="AI70" s="14"/>
        <tr r="AI76" s="14"/>
        <tr r="AI25" s="14"/>
        <tr r="AI29" s="14"/>
        <tr r="AI31" s="14"/>
        <tr r="AI38" s="14"/>
        <tr r="AI39" s="14"/>
        <tr r="AI41" s="14"/>
        <tr r="AI71" s="14"/>
        <tr r="AI47" s="14"/>
        <tr r="AI30" s="14"/>
        <tr r="AI46" s="14"/>
        <tr r="AI35" s="14"/>
        <tr r="AI45" s="14"/>
        <tr r="AI44" s="14"/>
        <tr r="AI50" s="14"/>
        <tr r="AI66" s="14"/>
        <tr r="AI53" s="14"/>
        <tr r="AI69" s="14"/>
        <tr r="AI28" s="14"/>
        <tr r="AI67" s="14"/>
        <tr r="AI36" s="14"/>
        <tr r="AI55" s="14"/>
        <tr r="AI48" s="14"/>
        <tr r="AI51" s="14"/>
        <tr r="AI37" s="14"/>
        <tr r="AI77" s="14"/>
        <tr r="AI27" s="14"/>
        <tr r="AI52" s="14"/>
        <tr r="AI63" s="14"/>
        <tr r="AI33" s="14"/>
        <tr r="AI54" s="14"/>
        <tr r="AI21" s="14"/>
        <tr r="AI64" s="14"/>
        <tr r="AI58" s="14"/>
        <tr r="AI20" s="14"/>
        <tr r="AI68" s="14"/>
        <tr r="AI23" s="14"/>
      </tp>
      <tp t="s">
        <v>8/15/2014</v>
        <stp/>
        <stp>BDP|0|22</stp>
        <stp>EH686914 Corp</stp>
        <stp>maturity</stp>
        <tr r="AI14" s="14"/>
        <tr r="AI97" s="14"/>
        <tr r="AI102" s="14"/>
        <tr r="AI22" s="14"/>
        <tr r="AI59" s="14"/>
        <tr r="AI34" s="14"/>
        <tr r="AI19" s="14"/>
        <tr r="AI49" s="14"/>
        <tr r="AI24" s="14"/>
        <tr r="AI15" s="14"/>
        <tr r="AI106" s="14"/>
        <tr r="AI101" s="14"/>
        <tr r="AI17" s="14"/>
        <tr r="AI110" s="14"/>
        <tr r="AI109" s="14"/>
        <tr r="AI108" s="14"/>
        <tr r="AI12" s="14"/>
        <tr r="AI16" s="14"/>
        <tr r="AI13" s="14"/>
        <tr r="AI42" s="14"/>
        <tr r="AI56" s="14"/>
        <tr r="AI57" s="14"/>
        <tr r="AI18" s="14"/>
        <tr r="AI43" s="14"/>
        <tr r="AI26" s="14"/>
        <tr r="AI32" s="14"/>
        <tr r="AI103" s="14"/>
        <tr r="AI83" s="14"/>
        <tr r="AI25" s="14"/>
        <tr r="AI29" s="14"/>
        <tr r="AI31" s="14"/>
        <tr r="AI38" s="14"/>
        <tr r="AI39" s="14"/>
        <tr r="AI41" s="14"/>
        <tr r="AI98" s="14"/>
        <tr r="AI105" s="14"/>
        <tr r="AI104" s="14"/>
        <tr r="AI100" s="14"/>
        <tr r="AI47" s="14"/>
        <tr r="AI30" s="14"/>
        <tr r="AI46" s="14"/>
        <tr r="AI35" s="14"/>
        <tr r="AI95" s="14"/>
        <tr r="AI45" s="14"/>
        <tr r="AI99" s="14"/>
        <tr r="AI44" s="14"/>
        <tr r="AI107" s="14"/>
        <tr r="AI50" s="14"/>
        <tr r="AI53" s="14"/>
        <tr r="AI28" s="14"/>
        <tr r="AI36" s="14"/>
        <tr r="AI94" s="14"/>
        <tr r="AI55" s="14"/>
        <tr r="AI85" s="14"/>
        <tr r="AI74" s="14"/>
        <tr r="AI48" s="14"/>
        <tr r="AI81" s="14"/>
        <tr r="AI91" s="14"/>
        <tr r="AI51" s="14"/>
        <tr r="AI37" s="14"/>
        <tr r="AI27" s="14"/>
        <tr r="AI52" s="14"/>
        <tr r="AI80" s="14"/>
        <tr r="AI33" s="14"/>
        <tr r="AI54" s="14"/>
        <tr r="AI21" s="14"/>
        <tr r="AI72" s="14"/>
        <tr r="AI86" s="14"/>
        <tr r="AI64" s="14"/>
        <tr r="AI58" s="14"/>
        <tr r="AI87" s="14"/>
        <tr r="AI20" s="14"/>
        <tr r="AI84" s="14"/>
        <tr r="AI40" s="14"/>
        <tr r="AI79" s="14"/>
        <tr r="AI93" s="14"/>
        <tr r="AI90" s="14"/>
        <tr r="AI92" s="14"/>
        <tr r="AI23" s="14"/>
        <tr r="AI88" s="14"/>
        <tr r="AI89" s="14"/>
        <tr r="AI78" s="14"/>
        <tr r="AI96" s="14"/>
        <tr r="AI82" s="14"/>
      </tp>
    </main>
    <main first="bofaddin.rtdserver">
      <tp t="s">
        <v>5/15/2019</v>
        <stp/>
        <stp>BDP|0|22</stp>
        <stp>EK026741 Corp</stp>
        <stp>maturity</stp>
        <tr r="AI106" s="14"/>
        <tr r="AI101" s="14"/>
        <tr r="AI110" s="14"/>
        <tr r="AI109" s="14"/>
        <tr r="AI108" s="14"/>
      </tp>
      <tp t="s">
        <v>5/15/2011</v>
        <stp/>
        <stp>BDP|0|22</stp>
        <stp>EF316042 Corp</stp>
        <stp>maturity</stp>
        <tr r="AI14" s="14"/>
        <tr r="AI15" s="14"/>
        <tr r="AI11" s="14"/>
        <tr r="AI12" s="14"/>
        <tr r="AI13" s="14"/>
      </tp>
    </main>
    <main first="bofaddin.rtdserver">
      <tp t="s">
        <v>8/15/2040</v>
        <stp/>
        <stp>BDP|0|22</stp>
        <stp>EI143596 Corp</stp>
        <stp>maturity</stp>
        <tr r="AI14" s="14"/>
        <tr r="AI97" s="14"/>
        <tr r="AI102" s="14"/>
        <tr r="AI22" s="14"/>
        <tr r="AI59" s="14"/>
        <tr r="AI34" s="14"/>
        <tr r="AI19" s="14"/>
        <tr r="AI49" s="14"/>
        <tr r="AI24" s="14"/>
        <tr r="AI15" s="14"/>
        <tr r="AI106" s="14"/>
        <tr r="AI101" s="14"/>
        <tr r="AI17" s="14"/>
        <tr r="AI110" s="14"/>
        <tr r="AI109" s="14"/>
        <tr r="AI108" s="14"/>
        <tr r="AI16" s="14"/>
        <tr r="AI42" s="14"/>
        <tr r="AI56" s="14"/>
        <tr r="AI57" s="14"/>
        <tr r="AI18" s="14"/>
        <tr r="AI43" s="14"/>
        <tr r="AI26" s="14"/>
        <tr r="AI32" s="14"/>
        <tr r="AI103" s="14"/>
        <tr r="AI83" s="14"/>
        <tr r="AI25" s="14"/>
        <tr r="AI29" s="14"/>
        <tr r="AI31" s="14"/>
        <tr r="AI38" s="14"/>
        <tr r="AI39" s="14"/>
        <tr r="AI41" s="14"/>
        <tr r="AI98" s="14"/>
        <tr r="AI105" s="14"/>
        <tr r="AI104" s="14"/>
        <tr r="AI100" s="14"/>
        <tr r="AI47" s="14"/>
        <tr r="AI30" s="14"/>
        <tr r="AI46" s="14"/>
        <tr r="AI35" s="14"/>
        <tr r="AI95" s="14"/>
        <tr r="AI45" s="14"/>
        <tr r="AI99" s="14"/>
        <tr r="AI44" s="14"/>
        <tr r="AI107" s="14"/>
        <tr r="AI50" s="14"/>
        <tr r="AI53" s="14"/>
        <tr r="AI28" s="14"/>
        <tr r="AI36" s="14"/>
        <tr r="AI94" s="14"/>
        <tr r="AI55" s="14"/>
        <tr r="AI85" s="14"/>
        <tr r="AI74" s="14"/>
        <tr r="AI48" s="14"/>
        <tr r="AI81" s="14"/>
        <tr r="AI91" s="14"/>
        <tr r="AI51" s="14"/>
        <tr r="AI37" s="14"/>
        <tr r="AI27" s="14"/>
        <tr r="AI52" s="14"/>
        <tr r="AI80" s="14"/>
        <tr r="AI33" s="14"/>
        <tr r="AI54" s="14"/>
        <tr r="AI21" s="14"/>
        <tr r="AI72" s="14"/>
        <tr r="AI86" s="14"/>
        <tr r="AI64" s="14"/>
        <tr r="AI58" s="14"/>
        <tr r="AI87" s="14"/>
        <tr r="AI20" s="14"/>
        <tr r="AI84" s="14"/>
        <tr r="AI40" s="14"/>
        <tr r="AI79" s="14"/>
        <tr r="AI93" s="14"/>
        <tr r="AI90" s="14"/>
        <tr r="AI92" s="14"/>
        <tr r="AI23" s="14"/>
        <tr r="AI88" s="14"/>
        <tr r="AI89" s="14"/>
        <tr r="AI78" s="14"/>
        <tr r="AI96" s="14"/>
        <tr r="AI82" s="14"/>
      </tp>
      <tp t="s">
        <v>5/15/2009</v>
        <stp/>
        <stp>BDP|0|22</stp>
        <stp>ED151447 Corp</stp>
        <stp>maturity</stp>
        <tr r="AI11" s="14"/>
      </tp>
      <tp t="s">
        <v>11/15/2009</v>
        <stp/>
        <stp>BDP|0|22</stp>
        <stp>EF830281 Corp</stp>
        <stp>maturity</stp>
        <tr r="AI11" s="14"/>
      </tp>
      <tp t="s">
        <v>8/15/2012</v>
        <stp/>
        <stp>BDP|0|22</stp>
        <stp>EG440046 Corp</stp>
        <stp>maturity</stp>
        <tr r="AI14" s="14"/>
        <tr r="AI22" s="14"/>
        <tr r="AI34" s="14"/>
        <tr r="AI19" s="14"/>
        <tr r="AI24" s="14"/>
        <tr r="AI15" s="14"/>
        <tr r="AI17" s="14"/>
        <tr r="AI12" s="14"/>
        <tr r="AI16" s="14"/>
        <tr r="AI13" s="14"/>
        <tr r="AI42" s="14"/>
        <tr r="AI18" s="14"/>
        <tr r="AI26" s="14"/>
        <tr r="AI32" s="14"/>
        <tr r="AI25" s="14"/>
        <tr r="AI29" s="14"/>
        <tr r="AI31" s="14"/>
        <tr r="AI41" s="14"/>
        <tr r="AI30" s="14"/>
        <tr r="AI46" s="14"/>
        <tr r="AI35" s="14"/>
        <tr r="AI44" s="14"/>
        <tr r="AI28" s="14"/>
        <tr r="AI36" s="14"/>
        <tr r="AI37" s="14"/>
        <tr r="AI27" s="14"/>
        <tr r="AI33" s="14"/>
        <tr r="AI21" s="14"/>
        <tr r="AI20" s="14"/>
        <tr r="AI23" s="14"/>
      </tp>
      <tp t="s">
        <v>3/15/2023</v>
        <stp/>
        <stp>BDP|0|22</stp>
        <stp>EC537521 Corp</stp>
        <stp>maturity</stp>
        <tr r="AI97" s="14"/>
        <tr r="AI102" s="14"/>
        <tr r="AI22" s="14"/>
        <tr r="AI59" s="14"/>
        <tr r="AI34" s="14"/>
        <tr r="AI62" s="14"/>
        <tr r="AI19" s="14"/>
        <tr r="AI49" s="14"/>
        <tr r="AI24" s="14"/>
        <tr r="AI17" s="14"/>
        <tr r="AI42" s="14"/>
        <tr r="AI56" s="14"/>
        <tr r="AI57" s="14"/>
        <tr r="AI18" s="14"/>
        <tr r="AI60" s="14"/>
        <tr r="AI43" s="14"/>
        <tr r="AI61" s="14"/>
        <tr r="AI26" s="14"/>
        <tr r="AI32" s="14"/>
        <tr r="AI75" s="14"/>
        <tr r="AI73" s="14"/>
        <tr r="AI103" s="14"/>
        <tr r="AI65" s="14"/>
        <tr r="AI83" s="14"/>
        <tr r="AI70" s="14"/>
        <tr r="AI76" s="14"/>
        <tr r="AI25" s="14"/>
        <tr r="AI29" s="14"/>
        <tr r="AI31" s="14"/>
        <tr r="AI38" s="14"/>
        <tr r="AI39" s="14"/>
        <tr r="AI41" s="14"/>
        <tr r="AI98" s="14"/>
        <tr r="AI105" s="14"/>
        <tr r="AI104" s="14"/>
        <tr r="AI100" s="14"/>
        <tr r="AI71" s="14"/>
        <tr r="AI47" s="14"/>
        <tr r="AI30" s="14"/>
        <tr r="AI46" s="14"/>
        <tr r="AI35" s="14"/>
        <tr r="AI95" s="14"/>
        <tr r="AI45" s="14"/>
        <tr r="AI99" s="14"/>
        <tr r="AI44" s="14"/>
        <tr r="AI107" s="14"/>
        <tr r="AI50" s="14"/>
        <tr r="AI66" s="14"/>
        <tr r="AI53" s="14"/>
        <tr r="AI69" s="14"/>
        <tr r="AI28" s="14"/>
        <tr r="AI67" s="14"/>
        <tr r="AI36" s="14"/>
        <tr r="AI94" s="14"/>
        <tr r="AI55" s="14"/>
        <tr r="AI85" s="14"/>
        <tr r="AI74" s="14"/>
        <tr r="AI48" s="14"/>
        <tr r="AI81" s="14"/>
        <tr r="AI91" s="14"/>
        <tr r="AI51" s="14"/>
        <tr r="AI37" s="14"/>
        <tr r="AI77" s="14"/>
        <tr r="AI27" s="14"/>
        <tr r="AI52" s="14"/>
        <tr r="AI63" s="14"/>
        <tr r="AI80" s="14"/>
        <tr r="AI33" s="14"/>
        <tr r="AI54" s="14"/>
        <tr r="AI21" s="14"/>
        <tr r="AI72" s="14"/>
        <tr r="AI86" s="14"/>
        <tr r="AI64" s="14"/>
        <tr r="AI58" s="14"/>
        <tr r="AI87" s="14"/>
        <tr r="AI20" s="14"/>
        <tr r="AI68" s="14"/>
        <tr r="AI84" s="14"/>
        <tr r="AI40" s="14"/>
        <tr r="AI79" s="14"/>
        <tr r="AI93" s="14"/>
        <tr r="AI90" s="14"/>
        <tr r="AI92" s="14"/>
        <tr r="AI23" s="14"/>
        <tr r="AI88" s="14"/>
        <tr r="AI89" s="14"/>
        <tr r="AI78" s="14"/>
        <tr r="AI96" s="14"/>
        <tr r="AI82" s="14"/>
      </tp>
    </main>
    <main first="bofaddin.rtdserver">
      <tp t="s">
        <v>8/15/2018</v>
        <stp/>
        <stp>BDP|0|22</stp>
        <stp>EI840455 Corp</stp>
        <stp>maturity</stp>
        <tr r="AI97" s="14"/>
        <tr r="AI102" s="14"/>
        <tr r="AI22" s="14"/>
        <tr r="AI59" s="14"/>
        <tr r="AI34" s="14"/>
        <tr r="AI62" s="14"/>
        <tr r="AI49" s="14"/>
        <tr r="AI24" s="14"/>
        <tr r="AI42" s="14"/>
        <tr r="AI56" s="14"/>
        <tr r="AI57" s="14"/>
        <tr r="AI60" s="14"/>
        <tr r="AI43" s="14"/>
        <tr r="AI61" s="14"/>
        <tr r="AI26" s="14"/>
        <tr r="AI32" s="14"/>
        <tr r="AI75" s="14"/>
        <tr r="AI73" s="14"/>
        <tr r="AI103" s="14"/>
        <tr r="AI65" s="14"/>
        <tr r="AI83" s="14"/>
        <tr r="AI70" s="14"/>
        <tr r="AI76" s="14"/>
        <tr r="AI25" s="14"/>
        <tr r="AI29" s="14"/>
        <tr r="AI31" s="14"/>
        <tr r="AI38" s="14"/>
        <tr r="AI39" s="14"/>
        <tr r="AI41" s="14"/>
        <tr r="AI98" s="14"/>
        <tr r="AI105" s="14"/>
        <tr r="AI104" s="14"/>
        <tr r="AI100" s="14"/>
        <tr r="AI71" s="14"/>
        <tr r="AI47" s="14"/>
        <tr r="AI30" s="14"/>
        <tr r="AI46" s="14"/>
        <tr r="AI35" s="14"/>
        <tr r="AI95" s="14"/>
        <tr r="AI45" s="14"/>
        <tr r="AI99" s="14"/>
        <tr r="AI44" s="14"/>
        <tr r="AI107" s="14"/>
        <tr r="AI50" s="14"/>
        <tr r="AI66" s="14"/>
        <tr r="AI53" s="14"/>
        <tr r="AI69" s="14"/>
        <tr r="AI28" s="14"/>
        <tr r="AI67" s="14"/>
        <tr r="AI36" s="14"/>
        <tr r="AI94" s="14"/>
        <tr r="AI55" s="14"/>
        <tr r="AI85" s="14"/>
        <tr r="AI74" s="14"/>
        <tr r="AI48" s="14"/>
        <tr r="AI81" s="14"/>
        <tr r="AI91" s="14"/>
        <tr r="AI51" s="14"/>
        <tr r="AI77" s="14"/>
        <tr r="AI27" s="14"/>
        <tr r="AI52" s="14"/>
        <tr r="AI63" s="14"/>
        <tr r="AI80" s="14"/>
        <tr r="AI33" s="14"/>
        <tr r="AI54" s="14"/>
        <tr r="AI21" s="14"/>
        <tr r="AI72" s="14"/>
        <tr r="AI86" s="14"/>
        <tr r="AI64" s="14"/>
        <tr r="AI58" s="14"/>
        <tr r="AI87" s="14"/>
        <tr r="AI68" s="14"/>
        <tr r="AI84" s="14"/>
        <tr r="AI40" s="14"/>
        <tr r="AI79" s="14"/>
        <tr r="AI93" s="14"/>
        <tr r="AI90" s="14"/>
        <tr r="AI92" s="14"/>
        <tr r="AI23" s="14"/>
        <tr r="AI88" s="14"/>
        <tr r="AI89" s="14"/>
        <tr r="AI78" s="14"/>
        <tr r="AI96" s="14"/>
        <tr r="AI82" s="14"/>
      </tp>
      <tp t="s">
        <v>5/15/2045</v>
        <stp/>
        <stp>BDP|0|22</stp>
        <stp>ED575776 Corp</stp>
        <stp>maturity</stp>
        <tr r="AI14" s="14"/>
        <tr r="AI97" s="14"/>
        <tr r="AI102" s="14"/>
        <tr r="AI22" s="14"/>
        <tr r="AI59" s="14"/>
        <tr r="AI34" s="14"/>
        <tr r="AI62" s="14"/>
        <tr r="AI19" s="14"/>
        <tr r="AI49" s="14"/>
        <tr r="AI24" s="14"/>
        <tr r="AI15" s="14"/>
        <tr r="AI106" s="14"/>
        <tr r="AI101" s="14"/>
        <tr r="AI17" s="14"/>
        <tr r="AI110" s="14"/>
        <tr r="AI109" s="14"/>
        <tr r="AI108" s="14"/>
        <tr r="AI12" s="14"/>
        <tr r="AI16" s="14"/>
        <tr r="AI13" s="14"/>
        <tr r="AI42" s="14"/>
        <tr r="AI56" s="14"/>
        <tr r="AI57" s="14"/>
        <tr r="AI18" s="14"/>
        <tr r="AI60" s="14"/>
        <tr r="AI43" s="14"/>
        <tr r="AI61" s="14"/>
        <tr r="AI26" s="14"/>
        <tr r="AI32" s="14"/>
        <tr r="AI75" s="14"/>
        <tr r="AI73" s="14"/>
        <tr r="AI103" s="14"/>
        <tr r="AI65" s="14"/>
        <tr r="AI83" s="14"/>
        <tr r="AI70" s="14"/>
        <tr r="AI76" s="14"/>
        <tr r="AI25" s="14"/>
        <tr r="AI29" s="14"/>
        <tr r="AI31" s="14"/>
        <tr r="AI38" s="14"/>
        <tr r="AI39" s="14"/>
        <tr r="AI41" s="14"/>
        <tr r="AI98" s="14"/>
        <tr r="AI105" s="14"/>
        <tr r="AI104" s="14"/>
        <tr r="AI100" s="14"/>
        <tr r="AI71" s="14"/>
        <tr r="AI47" s="14"/>
        <tr r="AI30" s="14"/>
        <tr r="AI46" s="14"/>
        <tr r="AI35" s="14"/>
        <tr r="AI95" s="14"/>
        <tr r="AI45" s="14"/>
        <tr r="AI99" s="14"/>
        <tr r="AI44" s="14"/>
        <tr r="AI107" s="14"/>
        <tr r="AI50" s="14"/>
        <tr r="AI66" s="14"/>
        <tr r="AI53" s="14"/>
        <tr r="AI69" s="14"/>
        <tr r="AI28" s="14"/>
        <tr r="AI67" s="14"/>
        <tr r="AI36" s="14"/>
        <tr r="AI94" s="14"/>
        <tr r="AI55" s="14"/>
        <tr r="AI85" s="14"/>
        <tr r="AI74" s="14"/>
        <tr r="AI48" s="14"/>
        <tr r="AI81" s="14"/>
        <tr r="AI91" s="14"/>
        <tr r="AI51" s="14"/>
        <tr r="AI37" s="14"/>
        <tr r="AI77" s="14"/>
        <tr r="AI27" s="14"/>
        <tr r="AI52" s="14"/>
        <tr r="AI63" s="14"/>
        <tr r="AI80" s="14"/>
        <tr r="AI33" s="14"/>
        <tr r="AI54" s="14"/>
        <tr r="AI21" s="14"/>
        <tr r="AI72" s="14"/>
        <tr r="AI86" s="14"/>
        <tr r="AI64" s="14"/>
        <tr r="AI58" s="14"/>
        <tr r="AI87" s="14"/>
        <tr r="AI20" s="14"/>
        <tr r="AI68" s="14"/>
        <tr r="AI84" s="14"/>
        <tr r="AI40" s="14"/>
        <tr r="AI79" s="14"/>
        <tr r="AI93" s="14"/>
        <tr r="AI90" s="14"/>
        <tr r="AI92" s="14"/>
        <tr r="AI23" s="14"/>
        <tr r="AI88" s="14"/>
        <tr r="AI89" s="14"/>
        <tr r="AI78" s="14"/>
        <tr r="AI96" s="14"/>
        <tr r="AI82" s="14"/>
      </tp>
      <tp t="s">
        <v>8/15/2020</v>
        <stp/>
        <stp>BDP|0|22</stp>
        <stp>EH686918 Corp</stp>
        <stp>maturity</stp>
        <tr r="AI14" s="14"/>
        <tr r="AI97" s="14"/>
        <tr r="AI102" s="14"/>
        <tr r="AI22" s="14"/>
        <tr r="AI59" s="14"/>
        <tr r="AI34" s="14"/>
        <tr r="AI62" s="14"/>
        <tr r="AI19" s="14"/>
        <tr r="AI49" s="14"/>
        <tr r="AI24" s="14"/>
        <tr r="AI15" s="14"/>
        <tr r="AI106" s="14"/>
        <tr r="AI101" s="14"/>
        <tr r="AI17" s="14"/>
        <tr r="AI110" s="14"/>
        <tr r="AI109" s="14"/>
        <tr r="AI108" s="14"/>
        <tr r="AI12" s="14"/>
        <tr r="AI16" s="14"/>
        <tr r="AI13" s="14"/>
        <tr r="AI42" s="14"/>
        <tr r="AI56" s="14"/>
        <tr r="AI57" s="14"/>
        <tr r="AI18" s="14"/>
        <tr r="AI60" s="14"/>
        <tr r="AI43" s="14"/>
        <tr r="AI61" s="14"/>
        <tr r="AI26" s="14"/>
        <tr r="AI32" s="14"/>
        <tr r="AI75" s="14"/>
        <tr r="AI73" s="14"/>
        <tr r="AI103" s="14"/>
        <tr r="AI65" s="14"/>
        <tr r="AI83" s="14"/>
        <tr r="AI70" s="14"/>
        <tr r="AI76" s="14"/>
        <tr r="AI25" s="14"/>
        <tr r="AI29" s="14"/>
        <tr r="AI31" s="14"/>
        <tr r="AI38" s="14"/>
        <tr r="AI39" s="14"/>
        <tr r="AI41" s="14"/>
        <tr r="AI98" s="14"/>
        <tr r="AI105" s="14"/>
        <tr r="AI104" s="14"/>
        <tr r="AI100" s="14"/>
        <tr r="AI71" s="14"/>
        <tr r="AI47" s="14"/>
        <tr r="AI30" s="14"/>
        <tr r="AI46" s="14"/>
        <tr r="AI35" s="14"/>
        <tr r="AI95" s="14"/>
        <tr r="AI45" s="14"/>
        <tr r="AI99" s="14"/>
        <tr r="AI44" s="14"/>
        <tr r="AI107" s="14"/>
        <tr r="AI50" s="14"/>
        <tr r="AI66" s="14"/>
        <tr r="AI53" s="14"/>
        <tr r="AI69" s="14"/>
        <tr r="AI28" s="14"/>
        <tr r="AI67" s="14"/>
        <tr r="AI36" s="14"/>
        <tr r="AI94" s="14"/>
        <tr r="AI55" s="14"/>
        <tr r="AI85" s="14"/>
        <tr r="AI74" s="14"/>
        <tr r="AI48" s="14"/>
        <tr r="AI81" s="14"/>
        <tr r="AI91" s="14"/>
        <tr r="AI51" s="14"/>
        <tr r="AI37" s="14"/>
        <tr r="AI77" s="14"/>
        <tr r="AI27" s="14"/>
        <tr r="AI52" s="14"/>
        <tr r="AI63" s="14"/>
        <tr r="AI80" s="14"/>
        <tr r="AI33" s="14"/>
        <tr r="AI54" s="14"/>
        <tr r="AI21" s="14"/>
        <tr r="AI72" s="14"/>
        <tr r="AI86" s="14"/>
        <tr r="AI64" s="14"/>
        <tr r="AI58" s="14"/>
        <tr r="AI87" s="14"/>
        <tr r="AI20" s="14"/>
        <tr r="AI68" s="14"/>
        <tr r="AI84" s="14"/>
        <tr r="AI40" s="14"/>
        <tr r="AI79" s="14"/>
        <tr r="AI93" s="14"/>
        <tr r="AI90" s="14"/>
        <tr r="AI92" s="14"/>
        <tr r="AI23" s="14"/>
        <tr r="AI88" s="14"/>
        <tr r="AI89" s="14"/>
        <tr r="AI78" s="14"/>
        <tr r="AI96" s="14"/>
        <tr r="AI82" s="14"/>
      </tp>
    </main>
    <main first="bofaddin.rtdserver">
      <tp t="s">
        <v>5/15/2035</v>
        <stp/>
        <stp>BDP|0|22</stp>
        <stp>EF323775 Corp</stp>
        <stp>maturity</stp>
        <tr r="AI97" s="14"/>
        <tr r="AI102" s="14"/>
        <tr r="AI22" s="14"/>
        <tr r="AI59" s="14"/>
        <tr r="AI34" s="14"/>
        <tr r="AI62" s="14"/>
        <tr r="AI19" s="14"/>
        <tr r="AI49" s="14"/>
        <tr r="AI24" s="14"/>
        <tr r="AI106" s="14"/>
        <tr r="AI101" s="14"/>
        <tr r="AI17" s="14"/>
        <tr r="AI110" s="14"/>
        <tr r="AI109" s="14"/>
        <tr r="AI108" s="14"/>
        <tr r="AI11" s="14"/>
        <tr r="AI12" s="14"/>
        <tr r="AI13" s="14"/>
        <tr r="AI42" s="14"/>
        <tr r="AI56" s="14"/>
        <tr r="AI57" s="14"/>
        <tr r="AI18" s="14"/>
        <tr r="AI60" s="14"/>
        <tr r="AI43" s="14"/>
        <tr r="AI61" s="14"/>
        <tr r="AI26" s="14"/>
        <tr r="AI32" s="14"/>
        <tr r="AI75" s="14"/>
        <tr r="AI73" s="14"/>
        <tr r="AI103" s="14"/>
        <tr r="AI65" s="14"/>
        <tr r="AI83" s="14"/>
        <tr r="AI70" s="14"/>
        <tr r="AI76" s="14"/>
        <tr r="AI25" s="14"/>
        <tr r="AI29" s="14"/>
        <tr r="AI31" s="14"/>
        <tr r="AI38" s="14"/>
        <tr r="AI39" s="14"/>
        <tr r="AI41" s="14"/>
        <tr r="AI98" s="14"/>
        <tr r="AI105" s="14"/>
        <tr r="AI104" s="14"/>
        <tr r="AI100" s="14"/>
        <tr r="AI71" s="14"/>
        <tr r="AI47" s="14"/>
        <tr r="AI30" s="14"/>
        <tr r="AI46" s="14"/>
        <tr r="AI35" s="14"/>
        <tr r="AI95" s="14"/>
        <tr r="AI45" s="14"/>
        <tr r="AI99" s="14"/>
        <tr r="AI44" s="14"/>
        <tr r="AI107" s="14"/>
        <tr r="AI50" s="14"/>
        <tr r="AI66" s="14"/>
        <tr r="AI53" s="14"/>
        <tr r="AI69" s="14"/>
        <tr r="AI28" s="14"/>
        <tr r="AI67" s="14"/>
        <tr r="AI36" s="14"/>
        <tr r="AI94" s="14"/>
        <tr r="AI55" s="14"/>
        <tr r="AI85" s="14"/>
        <tr r="AI74" s="14"/>
        <tr r="AI48" s="14"/>
        <tr r="AI81" s="14"/>
        <tr r="AI91" s="14"/>
        <tr r="AI51" s="14"/>
        <tr r="AI37" s="14"/>
        <tr r="AI77" s="14"/>
        <tr r="AI27" s="14"/>
        <tr r="AI52" s="14"/>
        <tr r="AI63" s="14"/>
        <tr r="AI80" s="14"/>
        <tr r="AI33" s="14"/>
        <tr r="AI54" s="14"/>
        <tr r="AI21" s="14"/>
        <tr r="AI72" s="14"/>
        <tr r="AI86" s="14"/>
        <tr r="AI64" s="14"/>
        <tr r="AI58" s="14"/>
        <tr r="AI87" s="14"/>
        <tr r="AI20" s="14"/>
        <tr r="AI68" s="14"/>
        <tr r="AI84" s="14"/>
        <tr r="AI40" s="14"/>
        <tr r="AI79" s="14"/>
        <tr r="AI93" s="14"/>
        <tr r="AI90" s="14"/>
        <tr r="AI92" s="14"/>
        <tr r="AI23" s="14"/>
        <tr r="AI88" s="14"/>
        <tr r="AI89" s="14"/>
        <tr r="AI78" s="14"/>
        <tr r="AI96" s="14"/>
        <tr r="AI82" s="14"/>
      </tp>
      <tp t="s">
        <v>8/15/2022</v>
        <stp/>
        <stp>BDP|0|22</stp>
        <stp>EI840463 Corp</stp>
        <stp>maturity</stp>
        <tr r="AI97" s="14"/>
        <tr r="AI102" s="14"/>
        <tr r="AI106" s="14"/>
        <tr r="AI101" s="14"/>
        <tr r="AI110" s="14"/>
        <tr r="AI109" s="14"/>
        <tr r="AI108" s="14"/>
        <tr r="AI103" s="14"/>
        <tr r="AI83" s="14"/>
        <tr r="AI98" s="14"/>
        <tr r="AI105" s="14"/>
        <tr r="AI104" s="14"/>
        <tr r="AI100" s="14"/>
        <tr r="AI95" s="14"/>
        <tr r="AI99" s="14"/>
        <tr r="AI107" s="14"/>
        <tr r="AI94" s="14"/>
        <tr r="AI85" s="14"/>
        <tr r="AI74" s="14"/>
        <tr r="AI81" s="14"/>
        <tr r="AI91" s="14"/>
        <tr r="AI80" s="14"/>
        <tr r="AI72" s="14"/>
        <tr r="AI86" s="14"/>
        <tr r="AI87" s="14"/>
        <tr r="AI84" s="14"/>
        <tr r="AI40" s="14"/>
        <tr r="AI79" s="14"/>
        <tr r="AI93" s="14"/>
        <tr r="AI90" s="14"/>
        <tr r="AI92" s="14"/>
        <tr r="AI88" s="14"/>
        <tr r="AI89" s="14"/>
        <tr r="AI78" s="14"/>
        <tr r="AI96" s="14"/>
        <tr r="AI82" s="14"/>
      </tp>
      <tp t="s">
        <v>5/15/2023</v>
        <stp/>
        <stp>BDP|0|22</stp>
        <stp>EK026705 Corp</stp>
        <stp>maturity</stp>
        <tr r="AI106" s="14"/>
        <tr r="AI101" s="14"/>
        <tr r="AI110" s="14"/>
        <tr r="AI109" s="14"/>
        <tr r="AI108" s="14"/>
      </tp>
    </main>
    <main first="bofaddin.rtdserver">
      <tp t="s">
        <v>8/15/2030</v>
        <stp/>
        <stp>BDP|0|22</stp>
        <stp>EI143592 Corp</stp>
        <stp>maturity</stp>
        <tr r="AI14" s="14"/>
        <tr r="AI97" s="14"/>
        <tr r="AI102" s="14"/>
        <tr r="AI22" s="14"/>
        <tr r="AI59" s="14"/>
        <tr r="AI34" s="14"/>
        <tr r="AI19" s="14"/>
        <tr r="AI49" s="14"/>
        <tr r="AI24" s="14"/>
        <tr r="AI15" s="14"/>
        <tr r="AI106" s="14"/>
        <tr r="AI101" s="14"/>
        <tr r="AI17" s="14"/>
        <tr r="AI110" s="14"/>
        <tr r="AI109" s="14"/>
        <tr r="AI108" s="14"/>
        <tr r="AI16" s="14"/>
        <tr r="AI42" s="14"/>
        <tr r="AI56" s="14"/>
        <tr r="AI57" s="14"/>
        <tr r="AI18" s="14"/>
        <tr r="AI43" s="14"/>
        <tr r="AI26" s="14"/>
        <tr r="AI32" s="14"/>
        <tr r="AI103" s="14"/>
        <tr r="AI83" s="14"/>
        <tr r="AI25" s="14"/>
        <tr r="AI29" s="14"/>
        <tr r="AI31" s="14"/>
        <tr r="AI38" s="14"/>
        <tr r="AI39" s="14"/>
        <tr r="AI41" s="14"/>
        <tr r="AI98" s="14"/>
        <tr r="AI105" s="14"/>
        <tr r="AI104" s="14"/>
        <tr r="AI100" s="14"/>
        <tr r="AI47" s="14"/>
        <tr r="AI30" s="14"/>
        <tr r="AI46" s="14"/>
        <tr r="AI35" s="14"/>
        <tr r="AI95" s="14"/>
        <tr r="AI45" s="14"/>
        <tr r="AI99" s="14"/>
        <tr r="AI44" s="14"/>
        <tr r="AI107" s="14"/>
        <tr r="AI50" s="14"/>
        <tr r="AI53" s="14"/>
        <tr r="AI28" s="14"/>
        <tr r="AI36" s="14"/>
        <tr r="AI94" s="14"/>
        <tr r="AI55" s="14"/>
        <tr r="AI85" s="14"/>
        <tr r="AI74" s="14"/>
        <tr r="AI48" s="14"/>
        <tr r="AI81" s="14"/>
        <tr r="AI91" s="14"/>
        <tr r="AI51" s="14"/>
        <tr r="AI37" s="14"/>
        <tr r="AI27" s="14"/>
        <tr r="AI52" s="14"/>
        <tr r="AI80" s="14"/>
        <tr r="AI33" s="14"/>
        <tr r="AI54" s="14"/>
        <tr r="AI21" s="14"/>
        <tr r="AI72" s="14"/>
        <tr r="AI86" s="14"/>
        <tr r="AI64" s="14"/>
        <tr r="AI58" s="14"/>
        <tr r="AI87" s="14"/>
        <tr r="AI20" s="14"/>
        <tr r="AI84" s="14"/>
        <tr r="AI40" s="14"/>
        <tr r="AI79" s="14"/>
        <tr r="AI93" s="14"/>
        <tr r="AI90" s="14"/>
        <tr r="AI92" s="14"/>
        <tr r="AI23" s="14"/>
        <tr r="AI88" s="14"/>
        <tr r="AI89" s="14"/>
        <tr r="AI78" s="14"/>
        <tr r="AI96" s="14"/>
        <tr r="AI82" s="14"/>
      </tp>
      <tp t="s">
        <v>5/15/2017</v>
        <stp/>
        <stp>BDP|0|22</stp>
        <stp>EG440062 Corp</stp>
        <stp>maturity</stp>
        <tr r="AI14" s="14"/>
        <tr r="AI97" s="14"/>
        <tr r="AI102" s="14"/>
        <tr r="AI22" s="14"/>
        <tr r="AI59" s="14"/>
        <tr r="AI34" s="14"/>
        <tr r="AI62" s="14"/>
        <tr r="AI19" s="14"/>
        <tr r="AI49" s="14"/>
        <tr r="AI24" s="14"/>
        <tr r="AI15" s="14"/>
        <tr r="AI106" s="14"/>
        <tr r="AI101" s="14"/>
        <tr r="AI17" s="14"/>
        <tr r="AI110" s="14"/>
        <tr r="AI109" s="14"/>
        <tr r="AI108" s="14"/>
        <tr r="AI12" s="14"/>
        <tr r="AI16" s="14"/>
        <tr r="AI13" s="14"/>
        <tr r="AI42" s="14"/>
        <tr r="AI56" s="14"/>
        <tr r="AI57" s="14"/>
        <tr r="AI18" s="14"/>
        <tr r="AI60" s="14"/>
        <tr r="AI43" s="14"/>
        <tr r="AI61" s="14"/>
        <tr r="AI26" s="14"/>
        <tr r="AI32" s="14"/>
        <tr r="AI75" s="14"/>
        <tr r="AI73" s="14"/>
        <tr r="AI103" s="14"/>
        <tr r="AI65" s="14"/>
        <tr r="AI83" s="14"/>
        <tr r="AI70" s="14"/>
        <tr r="AI76" s="14"/>
        <tr r="AI25" s="14"/>
        <tr r="AI29" s="14"/>
        <tr r="AI31" s="14"/>
        <tr r="AI38" s="14"/>
        <tr r="AI39" s="14"/>
        <tr r="AI41" s="14"/>
        <tr r="AI98" s="14"/>
        <tr r="AI105" s="14"/>
        <tr r="AI104" s="14"/>
        <tr r="AI100" s="14"/>
        <tr r="AI71" s="14"/>
        <tr r="AI47" s="14"/>
        <tr r="AI30" s="14"/>
        <tr r="AI46" s="14"/>
        <tr r="AI35" s="14"/>
        <tr r="AI95" s="14"/>
        <tr r="AI45" s="14"/>
        <tr r="AI99" s="14"/>
        <tr r="AI44" s="14"/>
        <tr r="AI107" s="14"/>
        <tr r="AI50" s="14"/>
        <tr r="AI66" s="14"/>
        <tr r="AI53" s="14"/>
        <tr r="AI69" s="14"/>
        <tr r="AI28" s="14"/>
        <tr r="AI67" s="14"/>
        <tr r="AI36" s="14"/>
        <tr r="AI94" s="14"/>
        <tr r="AI55" s="14"/>
        <tr r="AI85" s="14"/>
        <tr r="AI74" s="14"/>
        <tr r="AI48" s="14"/>
        <tr r="AI81" s="14"/>
        <tr r="AI91" s="14"/>
        <tr r="AI51" s="14"/>
        <tr r="AI37" s="14"/>
        <tr r="AI77" s="14"/>
        <tr r="AI27" s="14"/>
        <tr r="AI52" s="14"/>
        <tr r="AI63" s="14"/>
        <tr r="AI80" s="14"/>
        <tr r="AI33" s="14"/>
        <tr r="AI54" s="14"/>
        <tr r="AI21" s="14"/>
        <tr r="AI72" s="14"/>
        <tr r="AI86" s="14"/>
        <tr r="AI64" s="14"/>
        <tr r="AI58" s="14"/>
        <tr r="AI87" s="14"/>
        <tr r="AI20" s="14"/>
        <tr r="AI68" s="14"/>
        <tr r="AI84" s="14"/>
        <tr r="AI40" s="14"/>
        <tr r="AI79" s="14"/>
        <tr r="AI93" s="14"/>
        <tr r="AI90" s="14"/>
        <tr r="AI92" s="14"/>
        <tr r="AI23" s="14"/>
        <tr r="AI88" s="14"/>
        <tr r="AI89" s="14"/>
        <tr r="AI78" s="14"/>
        <tr r="AI96" s="14"/>
        <tr r="AI82" s="14"/>
      </tp>
      <tp t="s">
        <v>8/15/2016</v>
        <stp/>
        <stp>BDP|0|22</stp>
        <stp>EI465080 Corp</stp>
        <stp>maturity</stp>
        <tr r="AI97" s="14"/>
        <tr r="AI102" s="14"/>
        <tr r="AI22" s="14"/>
        <tr r="AI59" s="14"/>
        <tr r="AI34" s="14"/>
        <tr r="AI19" s="14"/>
        <tr r="AI49" s="14"/>
        <tr r="AI24" s="14"/>
        <tr r="AI106" s="14"/>
        <tr r="AI101" s="14"/>
        <tr r="AI17" s="14"/>
        <tr r="AI110" s="14"/>
        <tr r="AI109" s="14"/>
        <tr r="AI108" s="14"/>
        <tr r="AI16" s="14"/>
        <tr r="AI42" s="14"/>
        <tr r="AI56" s="14"/>
        <tr r="AI57" s="14"/>
        <tr r="AI18" s="14"/>
        <tr r="AI43" s="14"/>
        <tr r="AI26" s="14"/>
        <tr r="AI32" s="14"/>
        <tr r="AI103" s="14"/>
        <tr r="AI83" s="14"/>
        <tr r="AI25" s="14"/>
        <tr r="AI29" s="14"/>
        <tr r="AI31" s="14"/>
        <tr r="AI38" s="14"/>
        <tr r="AI39" s="14"/>
        <tr r="AI41" s="14"/>
        <tr r="AI98" s="14"/>
        <tr r="AI105" s="14"/>
        <tr r="AI104" s="14"/>
        <tr r="AI100" s="14"/>
        <tr r="AI47" s="14"/>
        <tr r="AI30" s="14"/>
        <tr r="AI46" s="14"/>
        <tr r="AI35" s="14"/>
        <tr r="AI95" s="14"/>
        <tr r="AI45" s="14"/>
        <tr r="AI99" s="14"/>
        <tr r="AI44" s="14"/>
        <tr r="AI107" s="14"/>
        <tr r="AI50" s="14"/>
        <tr r="AI53" s="14"/>
        <tr r="AI28" s="14"/>
        <tr r="AI36" s="14"/>
        <tr r="AI94" s="14"/>
        <tr r="AI55" s="14"/>
        <tr r="AI85" s="14"/>
        <tr r="AI74" s="14"/>
        <tr r="AI48" s="14"/>
        <tr r="AI81" s="14"/>
        <tr r="AI91" s="14"/>
        <tr r="AI51" s="14"/>
        <tr r="AI37" s="14"/>
        <tr r="AI27" s="14"/>
        <tr r="AI52" s="14"/>
        <tr r="AI80" s="14"/>
        <tr r="AI33" s="14"/>
        <tr r="AI54" s="14"/>
        <tr r="AI21" s="14"/>
        <tr r="AI72" s="14"/>
        <tr r="AI86" s="14"/>
        <tr r="AI64" s="14"/>
        <tr r="AI58" s="14"/>
        <tr r="AI87" s="14"/>
        <tr r="AI20" s="14"/>
        <tr r="AI84" s="14"/>
        <tr r="AI40" s="14"/>
        <tr r="AI79" s="14"/>
        <tr r="AI93" s="14"/>
        <tr r="AI90" s="14"/>
        <tr r="AI92" s="14"/>
        <tr r="AI23" s="14"/>
        <tr r="AI88" s="14"/>
        <tr r="AI89" s="14"/>
        <tr r="AI78" s="14"/>
        <tr r="AI96" s="14"/>
        <tr r="AI82" s="14"/>
      </tp>
    </main>
    <main first="bofaddin.rtdserver">
      <tp t="s">
        <v>8/15/2050</v>
        <stp/>
        <stp>BDP|0|22</stp>
        <stp>EI143600 Corp</stp>
        <stp>maturity</stp>
        <tr r="AI97" s="14"/>
        <tr r="AI102" s="14"/>
        <tr r="AI22" s="14"/>
        <tr r="AI59" s="14"/>
        <tr r="AI34" s="14"/>
        <tr r="AI62" s="14"/>
        <tr r="AI19" s="14"/>
        <tr r="AI49" s="14"/>
        <tr r="AI24" s="14"/>
        <tr r="AI106" s="14"/>
        <tr r="AI101" s="14"/>
        <tr r="AI17" s="14"/>
        <tr r="AI110" s="14"/>
        <tr r="AI109" s="14"/>
        <tr r="AI108" s="14"/>
        <tr r="AI42" s="14"/>
        <tr r="AI56" s="14"/>
        <tr r="AI57" s="14"/>
        <tr r="AI18" s="14"/>
        <tr r="AI60" s="14"/>
        <tr r="AI43" s="14"/>
        <tr r="AI61" s="14"/>
        <tr r="AI26" s="14"/>
        <tr r="AI32" s="14"/>
        <tr r="AI75" s="14"/>
        <tr r="AI73" s="14"/>
        <tr r="AI103" s="14"/>
        <tr r="AI65" s="14"/>
        <tr r="AI83" s="14"/>
        <tr r="AI70" s="14"/>
        <tr r="AI76" s="14"/>
        <tr r="AI25" s="14"/>
        <tr r="AI29" s="14"/>
        <tr r="AI31" s="14"/>
        <tr r="AI38" s="14"/>
        <tr r="AI39" s="14"/>
        <tr r="AI41" s="14"/>
        <tr r="AI98" s="14"/>
        <tr r="AI105" s="14"/>
        <tr r="AI104" s="14"/>
        <tr r="AI100" s="14"/>
        <tr r="AI71" s="14"/>
        <tr r="AI47" s="14"/>
        <tr r="AI30" s="14"/>
        <tr r="AI46" s="14"/>
        <tr r="AI35" s="14"/>
        <tr r="AI95" s="14"/>
        <tr r="AI45" s="14"/>
        <tr r="AI99" s="14"/>
        <tr r="AI44" s="14"/>
        <tr r="AI107" s="14"/>
        <tr r="AI50" s="14"/>
        <tr r="AI66" s="14"/>
        <tr r="AI53" s="14"/>
        <tr r="AI69" s="14"/>
        <tr r="AI28" s="14"/>
        <tr r="AI67" s="14"/>
        <tr r="AI36" s="14"/>
        <tr r="AI94" s="14"/>
        <tr r="AI55" s="14"/>
        <tr r="AI85" s="14"/>
        <tr r="AI74" s="14"/>
        <tr r="AI48" s="14"/>
        <tr r="AI81" s="14"/>
        <tr r="AI91" s="14"/>
        <tr r="AI51" s="14"/>
        <tr r="AI37" s="14"/>
        <tr r="AI77" s="14"/>
        <tr r="AI27" s="14"/>
        <tr r="AI52" s="14"/>
        <tr r="AI63" s="14"/>
        <tr r="AI80" s="14"/>
        <tr r="AI33" s="14"/>
        <tr r="AI54" s="14"/>
        <tr r="AI21" s="14"/>
        <tr r="AI72" s="14"/>
        <tr r="AI86" s="14"/>
        <tr r="AI64" s="14"/>
        <tr r="AI58" s="14"/>
        <tr r="AI87" s="14"/>
        <tr r="AI20" s="14"/>
        <tr r="AI68" s="14"/>
        <tr r="AI84" s="14"/>
        <tr r="AI40" s="14"/>
        <tr r="AI79" s="14"/>
        <tr r="AI93" s="14"/>
        <tr r="AI90" s="14"/>
        <tr r="AI92" s="14"/>
        <tr r="AI23" s="14"/>
        <tr r="AI88" s="14"/>
        <tr r="AI89" s="14"/>
        <tr r="AI78" s="14"/>
        <tr r="AI96" s="14"/>
        <tr r="AI82" s="14"/>
      </tp>
      <tp t="s">
        <v>#N/A Requesting Data...2696373462</v>
        <stp/>
        <stp>BDP|8356743032561897172</stp>
        <tr r="I24" s="14"/>
        <tr r="I24" s="14"/>
      </tp>
      <tp t="s">
        <v>#N/A Requesting Data...4040400040</v>
        <stp/>
        <stp>BDP|2005814689837331917</stp>
        <tr r="AS27" s="14"/>
      </tp>
      <tp t="s">
        <v>#N/A Requesting Data...3716182767</v>
        <stp/>
        <stp>BDP|4594686077711107813</stp>
        <tr r="H102" s="14"/>
      </tp>
      <tp t="s">
        <v>#N/A Requesting Data...3290927731</v>
        <stp/>
        <stp>BDP|6612788668792869942</stp>
        <tr r="K54" s="14"/>
      </tp>
      <tp t="s">
        <v>#N/A N/A</v>
        <stp/>
        <stp>BDS|5875848483599645037</stp>
        <tr r="AI94" s="14"/>
        <tr r="AI94" s="14"/>
      </tp>
      <tp t="s">
        <v>#N/A Requesting Data...3210115036</v>
        <stp/>
        <stp>BDP|3927050578091966979</stp>
        <tr r="AU82" s="14"/>
      </tp>
      <tp t="s">
        <v>#N/A Requesting Data...3427994014</v>
        <stp/>
        <stp>BDP|1695857042895960420</stp>
        <tr r="AT62" s="14"/>
      </tp>
      <tp t="s">
        <v>#N/A Requesting Data...2775884874</v>
        <stp/>
        <stp>BDP|5849552484781749546</stp>
        <tr r="K14" s="14"/>
      </tp>
      <tp t="s">
        <v>#N/A N/A</v>
        <stp/>
        <stp>BDP|6209430529598576477</stp>
        <tr r="P22" s="7"/>
      </tp>
      <tp t="s">
        <v>#N/A Requesting Data...3724771809</v>
        <stp/>
        <stp>BDP|8148393221245735041</stp>
        <tr r="AB42" s="14"/>
        <tr r="AB42" s="14"/>
      </tp>
      <tp t="s">
        <v>#N/A N/A</v>
        <stp/>
        <stp>BDP|3857851958025947766</stp>
        <tr r="AH85" s="14"/>
        <tr r="AH85" s="14"/>
      </tp>
      <tp t="s">
        <v>#N/A Requesting Data...3416885529</v>
        <stp/>
        <stp>BDP|6242848419002430104</stp>
        <tr r="AQ38" s="14"/>
      </tp>
      <tp t="s">
        <v>#N/A Requesting Data...3637817043</v>
        <stp/>
        <stp>BDP|9867428061666135111</stp>
        <tr r="D101" s="16"/>
        <tr r="E103" s="14"/>
      </tp>
      <tp t="s">
        <v>#N/A Requesting Data...3864823727</v>
        <stp/>
        <stp>BDP|8025051088525234949</stp>
        <tr r="AK11" s="14"/>
      </tp>
      <tp t="s">
        <v>#N/A N/A</v>
        <stp/>
        <stp>BDS|4896734160319559056</stp>
        <tr r="AI65" s="14"/>
        <tr r="AI65" s="14"/>
      </tp>
      <tp t="s">
        <v>#N/A Requesting Data...4081535255</v>
        <stp/>
        <stp>BDP|3886017760048392117</stp>
        <tr r="AL75" s="14"/>
      </tp>
      <tp t="s">
        <v>#N/A Requesting Data...3164495001</v>
        <stp/>
        <stp>BDP|1367018688515709069</stp>
        <tr r="D102" s="16"/>
        <tr r="E104" s="14"/>
      </tp>
      <tp t="s">
        <v>#N/A Requesting Data...3642913077</v>
        <stp/>
        <stp>BDP|9826098025430469782</stp>
        <tr r="AB20" s="14"/>
        <tr r="AB20" s="14"/>
      </tp>
      <tp t="s">
        <v>#N/A Requesting Data...4175547359</v>
        <stp/>
        <stp>BDP|3264042629688690516</stp>
        <tr r="E66" s="16"/>
      </tp>
      <tp t="s">
        <v>#N/A Requesting Data...3140740973</v>
        <stp/>
        <stp>BDP|7270054729440691902</stp>
        <tr r="K71" s="14"/>
      </tp>
      <tp t="s">
        <v>#N/A Requesting Data...3072513665</v>
        <stp/>
        <stp>BDP|3185980165309298961</stp>
        <tr r="AL19" s="14"/>
      </tp>
      <tp t="s">
        <v>#N/A Requesting Data...3541692278</v>
        <stp/>
        <stp>BDP|9139050745045958404</stp>
        <tr r="G102" s="14"/>
      </tp>
      <tp t="s">
        <v>#N/A Requesting Data...4078341013</v>
        <stp/>
        <stp>BDP|3717788714039777056</stp>
        <tr r="AR95" s="14"/>
      </tp>
      <tp t="s">
        <v>#N/A N/A</v>
        <stp/>
        <stp>BDP|5554290447707239809</stp>
        <tr r="G15" s="7"/>
      </tp>
      <tp t="s">
        <v>#N/A N/A</v>
        <stp/>
        <stp>BDP|4972106820902057900</stp>
        <tr r="T52" s="14"/>
        <tr r="T52" s="14"/>
      </tp>
      <tp t="s">
        <v>#N/A Requesting Data...4129691242</v>
        <stp/>
        <stp>BDP|6262751479999782309</stp>
        <tr r="AK100" s="14"/>
      </tp>
      <tp t="s">
        <v>#N/A Requesting Data...3145307378</v>
        <stp/>
        <stp>BDP|9050987645188470007</stp>
        <tr r="AF98" s="14"/>
      </tp>
      <tp t="s">
        <v>#N/A Requesting Data...3379435471</v>
        <stp/>
        <stp>BDP|9627625969310160555</stp>
        <tr r="AH28" s="14"/>
      </tp>
      <tp t="s">
        <v>#N/A N/A</v>
        <stp/>
        <stp>BDP|6423855968395272125</stp>
        <tr r="L105" s="16"/>
        <tr r="L101" s="16"/>
        <tr r="L102" s="16"/>
        <tr r="L103" s="16"/>
      </tp>
      <tp t="s">
        <v>#N/A Requesting Data...3708208980</v>
        <stp/>
        <stp>BDP|2251524827841989805</stp>
        <tr r="D20" s="1"/>
      </tp>
      <tp t="s">
        <v>#N/A Requesting Data...2597292536</v>
        <stp/>
        <stp>BDP|3504020117249613787</stp>
        <tr r="I41" s="14"/>
      </tp>
      <tp t="s">
        <v>#N/A Requesting Data...2760007040</v>
        <stp/>
        <stp>BDP|8227059735993591482</stp>
        <tr r="I11" s="12"/>
      </tp>
      <tp t="s">
        <v>#N/A N/A</v>
        <stp/>
        <stp>BDP|7183291597797577754</stp>
        <tr r="E6" s="4"/>
      </tp>
      <tp t="s">
        <v>#N/A Requesting Data...2998982685</v>
        <stp/>
        <stp>BDP|3666811148902939193</stp>
        <tr r="AR105" s="14"/>
      </tp>
      <tp t="s">
        <v>#N/A N/A</v>
        <stp/>
        <stp>BDP|7632906943820951638</stp>
        <tr r="E15" s="6"/>
      </tp>
      <tp t="s">
        <v>#N/A Requesting Data...4065618860</v>
        <stp/>
        <stp>BDP|6092090454366667949</stp>
        <tr r="AH80" s="14"/>
      </tp>
      <tp t="s">
        <v>#N/A N/A</v>
        <stp/>
        <stp>BDP|1657914612755838023</stp>
        <tr r="S14" s="1"/>
      </tp>
      <tp t="s">
        <v>#N/A Requesting Data...3239752331</v>
        <stp/>
        <stp>BDP|1985669221808469166</stp>
        <tr r="AK62" s="14"/>
      </tp>
      <tp t="s">
        <v>#N/A N/A</v>
        <stp/>
        <stp>BDP|6683168857806922827</stp>
        <tr r="E13" s="1"/>
      </tp>
      <tp t="s">
        <v>#N/A Requesting Data...3939143501</v>
        <stp/>
        <stp>BDP|5387797486111821780</stp>
        <tr r="AN61" s="14"/>
      </tp>
      <tp t="s">
        <v>#N/A Requesting Data...2554890493</v>
        <stp/>
        <stp>BDP|6850810786043292913</stp>
        <tr r="C21" s="14"/>
      </tp>
      <tp t="s">
        <v>#N/A Requesting Data...3499213541</v>
        <stp/>
        <stp>BDP|4817977061153769451</stp>
        <tr r="G31" s="16"/>
      </tp>
      <tp t="s">
        <v>#N/A N/A</v>
        <stp/>
        <stp>BDP|8826044199055039896</stp>
        <tr r="E24" s="7"/>
      </tp>
      <tp t="s">
        <v>#N/A N/A</v>
        <stp/>
        <stp>BDP|7576203558905697976</stp>
        <tr r="AL17" s="1"/>
      </tp>
      <tp t="s">
        <v>#N/A Requesting Data...3191790769</v>
        <stp/>
        <stp>BDP|1965507712550135960</stp>
        <tr r="D57" s="14"/>
        <tr r="C55" s="16"/>
      </tp>
      <tp t="s">
        <v>#N/A Requesting Data...4111666106</v>
        <stp/>
        <stp>BDP|1263170061088088289</stp>
        <tr r="AE37" s="14"/>
      </tp>
      <tp t="s">
        <v>#N/A Requesting Data...3027961703</v>
        <stp/>
        <stp>BDP|1966723968644772882</stp>
        <tr r="E86" s="14"/>
        <tr r="D84" s="16"/>
      </tp>
      <tp t="s">
        <v>#N/A Requesting Data...3110989650</v>
        <stp/>
        <stp>BDP|2981093240892503888</stp>
        <tr r="F15" s="16"/>
      </tp>
      <tp t="s">
        <v>#N/A Requesting Data...3014735181</v>
        <stp/>
        <stp>BDP|9594387794716330979</stp>
        <tr r="AE22" s="14"/>
      </tp>
      <tp t="s">
        <v>#N/A N/A</v>
        <stp/>
        <stp>BDH|6936000484460396230</stp>
        <tr r="AI22" s="14"/>
      </tp>
      <tp t="s">
        <v>#N/A N/A</v>
        <stp/>
        <stp>BDP|5687667642939894285</stp>
        <tr r="N15" s="6"/>
      </tp>
      <tp t="s">
        <v>#N/A Requesting Data...2931775986</v>
        <stp/>
        <stp>BDP|2523052294177189076</stp>
        <tr r="C17" s="16"/>
        <tr r="D19" s="14"/>
      </tp>
      <tp t="s">
        <v>#N/A Requesting Data...3677689597</v>
        <stp/>
        <stp>BDP|3601118091690405700</stp>
        <tr r="K19" s="14"/>
      </tp>
      <tp t="s">
        <v>#N/A Requesting Data...3280806266</v>
        <stp/>
        <stp>BDP|7412454715086797812</stp>
        <tr r="AQ26" s="14"/>
      </tp>
      <tp t="s">
        <v>#N/A Requesting Data...3371019978</v>
        <stp/>
        <stp>BDP|8507610116977985494</stp>
        <tr r="AP61" s="14"/>
      </tp>
      <tp t="s">
        <v>#N/A Requesting Data...3386050163</v>
        <stp/>
        <stp>BDP|9770655659952007481</stp>
        <tr r="AQ86" s="14"/>
      </tp>
      <tp t="s">
        <v>#N/A N/A</v>
        <stp/>
        <stp>BDP|5061619643888874391</stp>
        <tr r="AC16" s="1"/>
      </tp>
      <tp t="s">
        <v>#N/A Requesting Data...3235839077</v>
        <stp/>
        <stp>BDP|1526230121005392878</stp>
        <tr r="AR22" s="14"/>
      </tp>
      <tp t="s">
        <v>#N/A Requesting Data...3296057940</v>
        <stp/>
        <stp>BDP|1758369890327784054</stp>
        <tr r="AB84" s="14"/>
        <tr r="AB84" s="14"/>
      </tp>
      <tp t="s">
        <v>#N/A Requesting Data...3638721974</v>
        <stp/>
        <stp>BDP|9853422053242213686</stp>
        <tr r="AT59" s="14"/>
      </tp>
      <tp t="s">
        <v>#N/A Requesting Data...4230828350</v>
        <stp/>
        <stp>BDP|6025937230387593759</stp>
        <tr r="E72" s="16"/>
      </tp>
      <tp t="s">
        <v>#N/A Requesting Data...3711920852</v>
        <stp/>
        <stp>BDP|9737339235842528776</stp>
        <tr r="AM85" s="14"/>
      </tp>
      <tp t="s">
        <v>#N/A Requesting Data...3917071850</v>
        <stp/>
        <stp>BDP|6406827607746819499</stp>
        <tr r="E102" s="16"/>
      </tp>
      <tp t="s">
        <v>#N/A Requesting Data...3347470501</v>
        <stp/>
        <stp>BDP|1248768399644842755</stp>
        <tr r="E47" s="16"/>
      </tp>
      <tp t="s">
        <v>#N/A Requesting Data...2649285149</v>
        <stp/>
        <stp>BDP|4753680045138983230</stp>
        <tr r="AD11" s="14"/>
      </tp>
      <tp t="s">
        <v>#N/A Requesting Data...3271046444</v>
        <stp/>
        <stp>BDP|2625473472909002436</stp>
        <tr r="H75" s="14"/>
      </tp>
      <tp t="s">
        <v>#N/A Requesting Data...3442192366</v>
        <stp/>
        <stp>BDP|4754914609285705481</stp>
        <tr r="AL14" s="14"/>
      </tp>
      <tp t="s">
        <v>#N/A N/A</v>
        <stp/>
        <stp>BDP|9043645566295061022</stp>
        <tr r="AH100" s="14"/>
        <tr r="AH100" s="14"/>
      </tp>
      <tp t="s">
        <v>#N/A N/A</v>
        <stp/>
        <stp>BDP|4645512012498350461</stp>
        <tr r="J22" s="16"/>
        <tr r="J23" s="16"/>
      </tp>
      <tp t="s">
        <v>#N/A N/A</v>
        <stp/>
        <stp>BDH|9181816500144276926</stp>
        <tr r="AE25" s="14"/>
      </tp>
      <tp t="s">
        <v>#N/A Requesting Data...3529321505</v>
        <stp/>
        <stp>BDP|8089793132552364299</stp>
        <tr r="AR52" s="14"/>
      </tp>
      <tp t="s">
        <v>#N/A Requesting Data...2640648137</v>
        <stp/>
        <stp>BDP|7265424012539600757</stp>
        <tr r="AQ78" s="14"/>
      </tp>
      <tp t="s">
        <v>#N/A Requesting Data...2605697374</v>
        <stp/>
        <stp>BDP|3663356796035435003</stp>
        <tr r="AK57" s="14"/>
      </tp>
      <tp t="s">
        <v>#N/A Requesting Data...3905220242</v>
        <stp/>
        <stp>BDP|8920096872336171520</stp>
        <tr r="G12" s="14"/>
      </tp>
      <tp t="s">
        <v>#N/A Requesting Data...4033744308</v>
        <stp/>
        <stp>BDP|7678944631399615843</stp>
        <tr r="AE41" s="14"/>
      </tp>
      <tp t="s">
        <v>#N/A Requesting Data...3081819071</v>
        <stp/>
        <stp>BDP|8572001370077148450</stp>
        <tr r="AP63" s="14"/>
      </tp>
      <tp t="s">
        <v>#N/A N/A</v>
        <stp/>
        <stp>BDP|5238885248272467776</stp>
        <tr r="J36" s="16"/>
        <tr r="J43" s="16"/>
      </tp>
      <tp t="s">
        <v>#N/A Requesting Data...2920541075</v>
        <stp/>
        <stp>BDP|4676105016451192908</stp>
        <tr r="AD51" s="14"/>
      </tp>
      <tp t="s">
        <v>#N/A Requesting Data...3400103037</v>
        <stp/>
        <stp>BDP|1436169865638282242</stp>
        <tr r="E18" s="16"/>
      </tp>
      <tp t="s">
        <v>#N/A Requesting Data...3829997044</v>
        <stp/>
        <stp>BDP|7452133186557221558</stp>
        <tr r="AQ32" s="14"/>
      </tp>
      <tp t="s">
        <v>#N/A N/A</v>
        <stp/>
        <stp>BDP|9173859651420336800</stp>
        <tr r="E21" s="7"/>
      </tp>
      <tp t="s">
        <v>#N/A Requesting Data...3490973700</v>
        <stp/>
        <stp>BDP|1030833518206527289</stp>
        <tr r="AD29" s="14"/>
      </tp>
      <tp t="s">
        <v>#N/A N/A</v>
        <stp/>
        <stp>BDP|5097858891170795852</stp>
        <tr r="Y40" s="14"/>
      </tp>
      <tp t="s">
        <v>#N/A Requesting Data...3744399711</v>
        <stp/>
        <stp>BDP|7508928715973133059</stp>
        <tr r="C45" s="14"/>
      </tp>
      <tp t="s">
        <v>#N/A Requesting Data...3296544650</v>
        <stp/>
        <stp>BDP|6826382883022497315</stp>
        <tr r="V61" s="14"/>
      </tp>
      <tp t="s">
        <v>#N/A Requesting Data...4200004491</v>
        <stp/>
        <stp>BDP|7699309205459734126</stp>
        <tr r="AD38" s="14"/>
      </tp>
      <tp t="s">
        <v>#N/A N/A</v>
        <stp/>
        <stp>BDH|7494075584204600772</stp>
        <tr r="AI21" s="14"/>
      </tp>
      <tp t="s">
        <v>#N/A Requesting Data...3986791926</v>
        <stp/>
        <stp>BDP|3974899802850775729</stp>
        <tr r="I84" s="14"/>
        <tr r="I84" s="14"/>
      </tp>
      <tp t="s">
        <v>#N/A N/A</v>
        <stp/>
        <stp>BDP|9782096548459050811</stp>
        <tr r="J45" s="16"/>
        <tr r="J37" s="16"/>
      </tp>
      <tp t="s">
        <v>#N/A Requesting Data...2854945656</v>
        <stp/>
        <stp>BDP|7383804301835049653</stp>
        <tr r="AF101" s="14"/>
      </tp>
      <tp t="s">
        <v>#N/A Requesting Data...3897704884</v>
        <stp/>
        <stp>BDP|8626798343741900628</stp>
        <tr r="G44" s="14"/>
      </tp>
      <tp t="s">
        <v>#N/A Requesting Data...2720390714</v>
        <stp/>
        <stp>BDP|4493038708691825900</stp>
        <tr r="C32" s="14"/>
      </tp>
      <tp t="s">
        <v>#N/A Requesting Data...2821682758</v>
        <stp/>
        <stp>BDP|2963490722029535102</stp>
        <tr r="C46" s="14"/>
      </tp>
      <tp t="s">
        <v>#N/A Requesting Data...2682698587</v>
        <stp/>
        <stp>BDP|2285699481910841065</stp>
        <tr r="AR49" s="14"/>
      </tp>
      <tp t="s">
        <v>#N/A Requesting Data...4213792226</v>
        <stp/>
        <stp>BDP|1798006846988302169</stp>
        <tr r="AH81" s="14"/>
      </tp>
      <tp t="s">
        <v>#N/A N/A</v>
        <stp/>
        <stp>BDP|2659057017578054703</stp>
        <tr r="AA15" s="1"/>
      </tp>
      <tp t="s">
        <v>#N/A N/A</v>
        <stp/>
        <stp>BDP|3932983081347467905</stp>
        <tr r="AJ16" s="1"/>
      </tp>
      <tp t="s">
        <v>#N/A Requesting Data...2845616265</v>
        <stp/>
        <stp>BDP|2063333412668503400</stp>
        <tr r="C92" s="14"/>
      </tp>
      <tp t="s">
        <v>#N/A N/A</v>
        <stp/>
        <stp>BDP|4193531605479765448</stp>
        <tr r="AH86" s="14"/>
        <tr r="AH86" s="14"/>
      </tp>
      <tp t="s">
        <v>#N/A N/A</v>
        <stp/>
        <stp>BDH|3634955974754545561</stp>
        <tr r="AN17" s="1"/>
      </tp>
      <tp t="s">
        <v>#N/A Requesting Data...3666721593</v>
        <stp/>
        <stp>BDP|4128095493884721594</stp>
        <tr r="AP73" s="14"/>
      </tp>
      <tp t="s">
        <v>#N/A Requesting Data...2976820797</v>
        <stp/>
        <stp>BDP|4591663175738617153</stp>
        <tr r="G32" s="16"/>
      </tp>
      <tp t="s">
        <v>#N/A Requesting Data...3715552745</v>
        <stp/>
        <stp>BDP|8503143838804551291</stp>
        <tr r="F34" s="16"/>
      </tp>
      <tp t="s">
        <v>#N/A Requesting Data...4086556333</v>
        <stp/>
        <stp>BDP|6979090783723477129</stp>
        <tr r="V40" s="14"/>
      </tp>
      <tp t="s">
        <v>#N/A Requesting Data...2652386915</v>
        <stp/>
        <stp>BDP|3671600064137166860</stp>
        <tr r="G75" s="14"/>
      </tp>
      <tp t="s">
        <v>#N/A Requesting Data...3511667620</v>
        <stp/>
        <stp>BDP|3216073164530356972</stp>
        <tr r="AD19" s="14"/>
      </tp>
      <tp t="s">
        <v>#N/A N/A</v>
        <stp/>
        <stp>BDP|7292669997805597131</stp>
        <tr r="I17" s="1"/>
      </tp>
      <tp t="s">
        <v>#N/A N/A</v>
        <stp/>
        <stp>BDP|8123605840002541413</stp>
        <tr r="V14" s="6"/>
      </tp>
      <tp t="s">
        <v>#N/A N/A</v>
        <stp/>
        <stp>BDP|8951598644502682773</stp>
        <tr r="J75" s="16"/>
        <tr r="J100" s="16"/>
        <tr r="J11" s="16"/>
        <tr r="J60" s="16"/>
        <tr r="J65" s="16"/>
        <tr r="J73" s="16"/>
        <tr r="J74" s="16"/>
      </tp>
      <tp t="s">
        <v>#N/A Requesting Data...2872531222</v>
        <stp/>
        <stp>BDP|2021050907568042671</stp>
        <tr r="G27" s="16"/>
      </tp>
      <tp t="s">
        <v>#N/A N/A</v>
        <stp/>
        <stp>BDP|8068070776283689029</stp>
        <tr r="I16" s="7"/>
      </tp>
      <tp t="s">
        <v>#N/A Requesting Data...3261439998</v>
        <stp/>
        <stp>BDP|3735615004308013170</stp>
        <tr r="AN87" s="14"/>
      </tp>
      <tp t="s">
        <v>#N/A Requesting Data...2986438666</v>
        <stp/>
        <stp>BDP|9661017454878388856</stp>
        <tr r="E44" s="16"/>
      </tp>
      <tp t="s">
        <v>#N/A Requesting Data...4040767738</v>
        <stp/>
        <stp>BDP|2181310904624812999</stp>
        <tr r="E103" s="16"/>
      </tp>
      <tp t="s">
        <v>#N/A N/A</v>
        <stp/>
        <stp>BDH|5341554192161155407</stp>
        <tr r="AE51" s="14"/>
      </tp>
    </main>
    <main first="bofaddin.rtdserver">
      <tp t="s">
        <v>#N/A Requesting Data...3592313125</v>
        <stp/>
        <stp>BDP|8953683953363987517</stp>
        <tr r="AQ57" s="14"/>
      </tp>
      <tp t="s">
        <v>#N/A Requesting Data...3756515554</v>
        <stp/>
        <stp>BDP|1178610482901824301</stp>
        <tr r="AO40" s="14"/>
        <tr r="AO40" s="14"/>
      </tp>
      <tp t="s">
        <v>#N/A Requesting Data...2901344353</v>
        <stp/>
        <stp>BDP|6386997230396512752</stp>
        <tr r="H58" s="14"/>
      </tp>
      <tp t="s">
        <v>#N/A N/A</v>
        <stp/>
        <stp>BDP|9978547460824187363</stp>
        <tr r="J12" s="1"/>
      </tp>
      <tp t="s">
        <v>#N/A Requesting Data...4131388866</v>
        <stp/>
        <stp>BDP|6169935879125727064</stp>
        <tr r="AB83" s="14"/>
        <tr r="AB83" s="14"/>
      </tp>
      <tp t="s">
        <v>#N/A Requesting Data...2956505416</v>
        <stp/>
        <stp>BDP|7761371686667527695</stp>
        <tr r="G110" s="14"/>
      </tp>
      <tp t="s">
        <v>#N/A N/A</v>
        <stp/>
        <stp>BDH|9615130329437634009</stp>
        <tr r="AE86" s="14"/>
      </tp>
      <tp t="s">
        <v>#N/A Requesting Data...3524898899</v>
        <stp/>
        <stp>BDP|3513206598877223244</stp>
        <tr r="F25" s="16"/>
      </tp>
      <tp t="s">
        <v>#N/A Requesting Data...3321888816</v>
        <stp/>
        <stp>BDP|3024939649271779267</stp>
        <tr r="I30" s="14"/>
        <tr r="I30" s="14"/>
      </tp>
      <tp t="s">
        <v>#N/A Requesting Data...4001225086</v>
        <stp/>
        <stp>BDP|1372374984255285295</stp>
        <tr r="AK92" s="14"/>
      </tp>
      <tp t="s">
        <v>#N/A N/A</v>
        <stp/>
        <stp>BDH|7470082467219082501</stp>
        <tr r="AE30" s="14"/>
      </tp>
      <tp t="s">
        <v>#N/A Requesting Data...3322564549</v>
        <stp/>
        <stp>BDP|2722158943719060390</stp>
        <tr r="D115" s="12"/>
      </tp>
      <tp t="s">
        <v>#N/A Requesting Data...4222065290</v>
        <stp/>
        <stp>BDP|1462628068359454525</stp>
        <tr r="G93" s="14"/>
      </tp>
      <tp t="s">
        <v>#N/A Requesting Data...3268738793</v>
        <stp/>
        <stp>BDP|8680523708123379371</stp>
        <tr r="K39" s="14"/>
      </tp>
      <tp t="s">
        <v>#N/A N/A</v>
        <stp/>
        <stp>BDP|1236946716840122490</stp>
        <tr r="J16" s="16"/>
        <tr r="J17" s="16"/>
      </tp>
      <tp t="s">
        <v>#N/A N/A</v>
        <stp/>
        <stp>BDP|9743144879894305616</stp>
        <tr r="L84" s="16"/>
        <tr r="L86" s="16"/>
        <tr r="L87" s="16"/>
      </tp>
      <tp t="s">
        <v>#N/A N/A</v>
        <stp/>
        <stp>BDP|5957179321449505228</stp>
        <tr r="N12" s="7"/>
      </tp>
      <tp t="s">
        <v>#N/A Requesting Data...3985188319</v>
        <stp/>
        <stp>BDP|8296074754493025398</stp>
        <tr r="F13" s="16"/>
      </tp>
      <tp t="s">
        <v>#N/A N/A</v>
        <stp/>
        <stp>BDP|5139884711768168914</stp>
        <tr r="E20" s="7"/>
      </tp>
      <tp t="s">
        <v>#N/A N/A</v>
        <stp/>
        <stp>BDP|9912529369597923027</stp>
        <tr r="N14" s="7"/>
      </tp>
      <tp t="s">
        <v>#N/A Requesting Data...3831305166</v>
        <stp/>
        <stp>BDP|1860953627553491472</stp>
        <tr r="AL104" s="14"/>
      </tp>
      <tp t="s">
        <v>#N/A N/A</v>
        <stp/>
        <stp>BDP|4312558864009285395</stp>
        <tr r="I40" s="14"/>
      </tp>
      <tp t="s">
        <v>#N/A N/A</v>
        <stp/>
        <stp>BDP|9315617238616106727</stp>
        <tr r="S13" s="1"/>
      </tp>
      <tp t="s">
        <v>#N/A N/A</v>
        <stp/>
        <stp>BDH|8615843637238432680</stp>
        <tr r="AE68" s="14"/>
      </tp>
      <tp t="s">
        <v>#N/A N/A</v>
        <stp/>
        <stp>BDH|6096402089840832785</stp>
        <tr r="AE38" s="14"/>
      </tp>
      <tp t="s">
        <v>#N/A N/A</v>
        <stp/>
        <stp>BDP|9911518554044254005</stp>
        <tr r="F25" s="6"/>
      </tp>
      <tp t="s">
        <v>#N/A N/A</v>
        <stp/>
        <stp>BDP|2213257012908357482</stp>
        <tr r="G18" s="7"/>
      </tp>
      <tp t="s">
        <v>#N/A Requesting Data...2887201809</v>
        <stp/>
        <stp>BDP|4960571049708919009</stp>
        <tr r="AU71" s="14"/>
      </tp>
      <tp t="s">
        <v>#N/A N/A</v>
        <stp/>
        <stp>BDP|2047688803691563806</stp>
        <tr r="J10" s="16"/>
        <tr r="J71" s="16"/>
      </tp>
      <tp t="s">
        <v>#N/A N/A</v>
        <stp/>
        <stp>BDP|8205720493088409390</stp>
        <tr r="L14" s="16"/>
      </tp>
      <tp t="s">
        <v>#N/A Requesting Data...3609572247</v>
        <stp/>
        <stp>BDP|4096714616338161788</stp>
        <tr r="H49" s="14"/>
      </tp>
      <tp t="s">
        <v>#N/A Requesting Data...4283716495</v>
        <stp/>
        <stp>BDP|7669665438168336751</stp>
        <tr r="AQ37" s="14"/>
      </tp>
      <tp t="s">
        <v>#N/A Requesting Data...3789535696</v>
        <stp/>
        <stp>BDP|3214290816328576566</stp>
        <tr r="E96" s="16"/>
      </tp>
      <tp t="s">
        <v>#N/A Requesting Data...3370581215</v>
        <stp/>
        <stp>BDP|7110197617323924985</stp>
        <tr r="K92" s="14"/>
      </tp>
      <tp t="s">
        <v>#N/A N/A</v>
        <stp/>
        <stp>BDH|4837748661669255114</stp>
        <tr r="AN15" s="1"/>
      </tp>
      <tp t="s">
        <v>#N/A Requesting Data...4117043892</v>
        <stp/>
        <stp>BDP|9147073763370946238</stp>
        <tr r="F88" s="16"/>
        <tr r="F89" s="16"/>
      </tp>
      <tp t="s">
        <v>#N/A Requesting Data...4246200775</v>
        <stp/>
        <stp>BDP|1091903308061161463</stp>
        <tr r="G98" s="14"/>
      </tp>
      <tp t="s">
        <v>#N/A Requesting Data...3656002913</v>
        <stp/>
        <stp>BDP|8187012359193625306</stp>
        <tr r="I22" s="14"/>
      </tp>
      <tp t="s">
        <v>#N/A N/A</v>
        <stp/>
        <stp>BDP|9718925599610366404</stp>
        <tr r="I33" s="16"/>
        <tr r="I64" s="16"/>
        <tr r="I68" s="16"/>
        <tr r="I69" s="16"/>
        <tr r="I29" s="16"/>
        <tr r="I32" s="16"/>
      </tp>
      <tp t="s">
        <v>#N/A Requesting Data...4165686846</v>
        <stp/>
        <stp>BDP|2761412446107618897</stp>
        <tr r="AL106" s="14"/>
      </tp>
      <tp t="s">
        <v>#N/A N/A</v>
        <stp/>
        <stp>BDP|9435645260861885574</stp>
        <tr r="F13" s="4"/>
      </tp>
      <tp t="s">
        <v>#N/A Requesting Data...3994617530</v>
        <stp/>
        <stp>BDP|3350855906704676292</stp>
        <tr r="AS98" s="14"/>
      </tp>
      <tp t="s">
        <v>#N/A N/A</v>
        <stp/>
        <stp>BDP|9631094004556502215</stp>
        <tr r="K15" s="4"/>
      </tp>
      <tp t="s">
        <v>#N/A Requesting Data...3783109350</v>
        <stp/>
        <stp>BDP|8130733701596559497</stp>
        <tr r="G87" s="14"/>
      </tp>
      <tp t="s">
        <v>#N/A N/A</v>
        <stp/>
        <stp>BDH|1783014169983190919</stp>
        <tr r="AI78" s="14"/>
      </tp>
      <tp t="s">
        <v>#N/A N/A</v>
        <stp/>
        <stp>BDH|6927775412974592969</stp>
        <tr r="AI37" s="14"/>
      </tp>
      <tp t="s">
        <v>#N/A Requesting Data...3311933484</v>
        <stp/>
        <stp>BDP|8163522037320189392</stp>
        <tr r="AP52" s="14"/>
      </tp>
      <tp t="s">
        <v>#N/A Requesting Data...3172794858</v>
        <stp/>
        <stp>BDP|5618649777611881818</stp>
        <tr r="H44" s="16"/>
        <tr r="H44" s="16"/>
        <tr r="F46" s="14"/>
        <tr r="F46" s="14"/>
      </tp>
      <tp t="s">
        <v>#N/A Requesting Data...3476843368</v>
        <stp/>
        <stp>BDP|8925668704953749007</stp>
        <tr r="AU31" s="14"/>
      </tp>
      <tp t="s">
        <v>#N/A Requesting Data...4224735728</v>
        <stp/>
        <stp>BDP|4709861229193726031</stp>
        <tr r="F28" s="16"/>
      </tp>
      <tp t="s">
        <v>#N/A Requesting Data...3529559610</v>
        <stp/>
        <stp>BDP|7564675926978899601</stp>
        <tr r="C21" s="12"/>
      </tp>
      <tp t="s">
        <v>#N/A Requesting Data...3738101465</v>
        <stp/>
        <stp>BDP|6718401289822397515</stp>
        <tr r="I46" s="14"/>
      </tp>
      <tp t="s">
        <v>#N/A Requesting Data...3165337790</v>
        <stp/>
        <stp>BDP|1988886958825660436</stp>
        <tr r="AT72" s="14"/>
      </tp>
      <tp t="s">
        <v>#N/A Requesting Data...2925125260</v>
        <stp/>
        <stp>BDP|1377807016216148380</stp>
        <tr r="AB85" s="14"/>
        <tr r="AB85" s="14"/>
      </tp>
      <tp t="s">
        <v>#N/A Requesting Data...3231031779</v>
        <stp/>
        <stp>BDP|4935405637879645753</stp>
        <tr r="AS14" s="14"/>
      </tp>
      <tp t="s">
        <v>#N/A Requesting Data...3100674461</v>
        <stp/>
        <stp>BDP|5759500193215194184</stp>
        <tr r="AP84" s="14"/>
      </tp>
      <tp t="s">
        <v>#N/A Requesting Data...3311633420</v>
        <stp/>
        <stp>BDP|2296413187002806117</stp>
        <tr r="AT69" s="14"/>
      </tp>
      <tp t="s">
        <v>#N/A Requesting Data...3869686818</v>
        <stp/>
        <stp>BDP|5275736086566994138</stp>
        <tr r="AQ102" s="14"/>
      </tp>
      <tp t="s">
        <v>#N/A Requesting Data...3970836899</v>
        <stp/>
        <stp>BDP|7082430179411399841</stp>
        <tr r="AN11" s="14"/>
      </tp>
      <tp t="s">
        <v>#N/A N/A</v>
        <stp/>
        <stp>BDH|6853234684372625349</stp>
        <tr r="Y21" s="6"/>
      </tp>
      <tp t="s">
        <v>#N/A N/A</v>
        <stp/>
        <stp>BDH|3570591601392498942</stp>
        <tr r="X22" s="6"/>
      </tp>
      <tp t="s">
        <v>#N/A Requesting Data...4196804904</v>
        <stp/>
        <stp>BDP|3184527344169050652</stp>
        <tr r="E19" s="1"/>
      </tp>
      <tp t="s">
        <v>#N/A Requesting Data...3659283141</v>
        <stp/>
        <stp>BDP|5878488481724117020</stp>
        <tr r="G12" s="16"/>
      </tp>
      <tp t="s">
        <v>#N/A Requesting Data...3737936813</v>
        <stp/>
        <stp>BDP|8672566170705593272</stp>
        <tr r="C78" s="16"/>
        <tr r="D80" s="14"/>
      </tp>
      <tp t="s">
        <v>#N/A N/A</v>
        <stp/>
        <stp>BDP|9325144015476770276</stp>
        <tr r="R16" s="1"/>
      </tp>
      <tp t="s">
        <v>#N/A Requesting Data...2772721399</v>
        <stp/>
        <stp>BDP|2175806801860256709</stp>
        <tr r="K67" s="14"/>
      </tp>
      <tp t="s">
        <v>#N/A Requesting Data...3568489617</v>
        <stp/>
        <stp>BDP|5570581229188303752</stp>
        <tr r="AT27" s="14"/>
      </tp>
      <tp t="s">
        <v>#N/A Requesting Data...2912431629</v>
        <stp/>
        <stp>BDP|8853825230418917611</stp>
        <tr r="AR56" s="14"/>
      </tp>
      <tp t="s">
        <v>#N/A Requesting Data...3018569777</v>
        <stp/>
        <stp>BDP|5178967000767610632</stp>
        <tr r="AU28" s="14"/>
      </tp>
      <tp t="s">
        <v>#N/A N/A</v>
        <stp/>
        <stp>BDP|8304394660375158595</stp>
        <tr r="AJ23" s="1"/>
      </tp>
      <tp t="s">
        <v>#N/A Requesting Data...2944776650</v>
        <stp/>
        <stp>BDP|8298546500175293560</stp>
        <tr r="AT25" s="14"/>
      </tp>
      <tp t="s">
        <v>#N/A N/A</v>
        <stp/>
        <stp>BDH|1304580088344319522</stp>
        <tr r="Y22" s="6"/>
      </tp>
      <tp t="s">
        <v>#N/A N/A</v>
        <stp/>
        <stp>BDS|2453102082381751729</stp>
        <tr r="AI55" s="14"/>
        <tr r="AI55" s="14"/>
        <tr r="AI54" s="14"/>
        <tr r="AI54" s="14"/>
      </tp>
      <tp t="s">
        <v>#N/A N/A</v>
        <stp/>
        <stp>BDP|7389332138143956924</stp>
        <tr r="K66" s="16"/>
      </tp>
      <tp t="s">
        <v>#N/A N/A</v>
        <stp/>
        <stp>BDS|2809013578889400164</stp>
        <tr r="AI42" s="14"/>
        <tr r="AI42" s="14"/>
        <tr r="AI41" s="14"/>
        <tr r="AI41" s="14"/>
        <tr r="AI46" s="14"/>
        <tr r="AI46" s="14"/>
        <tr r="AI44" s="14"/>
        <tr r="AI44" s="14"/>
      </tp>
      <tp t="s">
        <v>#N/A Requesting Data...3520424683</v>
        <stp/>
        <stp>BDP|4637151205880239876</stp>
        <tr r="G48" s="14"/>
      </tp>
      <tp t="s">
        <v>#N/A Requesting Data...4013724905</v>
        <stp/>
        <stp>BDP|9732126218141828569</stp>
        <tr r="AR100" s="14"/>
      </tp>
      <tp t="s">
        <v>#N/A N/A</v>
        <stp/>
        <stp>BDS|9484730046112593573</stp>
        <tr r="B27" s="12"/>
      </tp>
      <tp t="s">
        <v>#N/A Requesting Data...3138348015</v>
        <stp/>
        <stp>BDP|9206508901820907190</stp>
        <tr r="C51" s="14"/>
      </tp>
      <tp t="s">
        <v>#N/A Requesting Data...3732276345</v>
        <stp/>
        <stp>BDP|8628106057112759353</stp>
        <tr r="AN60" s="14"/>
      </tp>
      <tp t="s">
        <v>#N/A Requesting Data...3795526666</v>
        <stp/>
        <stp>BDP|5862544193531873543</stp>
        <tr r="AS74" s="14"/>
      </tp>
      <tp t="s">
        <v>#N/A Requesting Data...3502342665</v>
        <stp/>
        <stp>BDP|3620434336081831886</stp>
        <tr r="AR67" s="14"/>
      </tp>
      <tp t="s">
        <v>#N/A Requesting Data...3871404048</v>
        <stp/>
        <stp>BDP|3362106052009658341</stp>
        <tr r="K97" s="14"/>
      </tp>
      <tp t="s">
        <v>#N/A Requesting Data...2807111662</v>
        <stp/>
        <stp>BDP|8473541113181110010</stp>
        <tr r="AM69" s="14"/>
      </tp>
      <tp t="s">
        <v>#N/A Requesting Data...3208434278</v>
        <stp/>
        <stp>BDP|1039975672471636339</stp>
        <tr r="I57" s="14"/>
        <tr r="I57" s="14"/>
      </tp>
      <tp t="s">
        <v>#N/A Requesting Data...3635599334</v>
        <stp/>
        <stp>BDP|2865396855750390975</stp>
        <tr r="C15" s="16"/>
        <tr r="D17" s="14"/>
      </tp>
      <tp t="s">
        <v>#N/A Requesting Data...3431366284</v>
        <stp/>
        <stp>BDP|4421673846953245871</stp>
        <tr r="H96" s="16"/>
        <tr r="H96" s="16"/>
        <tr r="F98" s="14"/>
        <tr r="F98" s="14"/>
      </tp>
      <tp t="s">
        <v>#N/A Requesting Data...3055522877</v>
        <stp/>
        <stp>BDP|6879666157638084090</stp>
        <tr r="G82" s="16"/>
      </tp>
      <tp t="s">
        <v>#N/A N/A</v>
        <stp/>
        <stp>BDP|4261778293591741610</stp>
        <tr r="J23" s="14"/>
      </tp>
      <tp t="s">
        <v>#N/A Requesting Data...3638763027</v>
        <stp/>
        <stp>BDP|1623711482733778022</stp>
        <tr r="D99" s="12"/>
      </tp>
      <tp t="s">
        <v>#N/A Requesting Data...3878136956</v>
        <stp/>
        <stp>BDP|7623300177498620675</stp>
        <tr r="F31" s="14"/>
        <tr r="F31" s="14"/>
        <tr r="H29" s="16"/>
        <tr r="H29" s="16"/>
      </tp>
      <tp t="s">
        <v>#N/A N/A</v>
        <stp/>
        <stp>BDP|9292079218550969540</stp>
        <tr r="M16" s="1"/>
      </tp>
      <tp t="s">
        <v>#N/A N/A</v>
        <stp/>
        <stp>BDP|9382066747936227601</stp>
        <tr r="G24" s="6"/>
      </tp>
      <tp t="s">
        <v>#N/A N/A</v>
        <stp/>
        <stp>BDP|8674729511186332568</stp>
        <tr r="E13" s="4"/>
      </tp>
      <tp t="s">
        <v>#N/A Requesting Data...4234974317</v>
        <stp/>
        <stp>BDP|3546200724856735868</stp>
        <tr r="AF48" s="14"/>
      </tp>
      <tp t="s">
        <v>#N/A Requesting Data...2831121263</v>
        <stp/>
        <stp>BDP|8033983624506450886</stp>
        <tr r="C73" s="16"/>
        <tr r="D75" s="14"/>
      </tp>
      <tp t="s">
        <v>#N/A Requesting Data...2939103824</v>
        <stp/>
        <stp>BDP|8863866088641681417</stp>
        <tr r="F9" s="16"/>
      </tp>
      <tp t="s">
        <v>#N/A Requesting Data...4123545875</v>
        <stp/>
        <stp>BDP|3559526896922839084</stp>
        <tr r="AU29" s="14"/>
      </tp>
      <tp t="s">
        <v>#N/A N/A</v>
        <stp/>
        <stp>BDP|9474073568143897123</stp>
        <tr r="G20" s="6"/>
      </tp>
      <tp t="s">
        <v>#N/A N/A</v>
        <stp/>
        <stp>BDP|5228762984977264031</stp>
        <tr r="U11" s="4"/>
      </tp>
      <tp t="s">
        <v>#N/A Requesting Data...4268999553</v>
        <stp/>
        <stp>BDP|9589961669473393884</stp>
        <tr r="AQ104" s="14"/>
      </tp>
      <tp t="s">
        <v>#N/A N/A</v>
        <stp/>
        <stp>BDP|5863932269611527663</stp>
        <tr r="T21" s="14"/>
        <tr r="T21" s="14"/>
      </tp>
      <tp t="s">
        <v>#N/A Requesting Data...3054345529</v>
        <stp/>
        <stp>BDP|5856385091753632167</stp>
        <tr r="AQ11" s="14"/>
      </tp>
      <tp t="s">
        <v>#N/A Requesting Data...2954735426</v>
        <stp/>
        <stp>BDP|8357698666946956338</stp>
        <tr r="D96" s="14"/>
        <tr r="C94" s="16"/>
      </tp>
      <tp t="s">
        <v>#N/A N/A</v>
        <stp/>
        <stp>BDP|9111117417246173209</stp>
        <tr r="G13" s="1"/>
      </tp>
      <tp t="s">
        <v>#N/A N/A</v>
        <stp/>
        <stp>BDP|7327847030854045514</stp>
        <tr r="T12" s="6"/>
      </tp>
      <tp t="s">
        <v>#N/A Requesting Data...3360142747</v>
        <stp/>
        <stp>BDP|9567290398416177934</stp>
        <tr r="AO81" s="14"/>
        <tr r="AO81" s="14"/>
      </tp>
      <tp t="s">
        <v>#N/A Requesting Data...3060584212</v>
        <stp/>
        <stp>BDP|2483065060539420008</stp>
        <tr r="AE24" s="14"/>
      </tp>
      <tp t="s">
        <v>#N/A N/A</v>
        <stp/>
        <stp>BDP|1000037862429084360</stp>
        <tr r="I12" s="4"/>
      </tp>
      <tp t="s">
        <v>#N/A Requesting Data...3718414129</v>
        <stp/>
        <stp>BDP|8212894994843178795</stp>
        <tr r="AT43" s="14"/>
      </tp>
      <tp t="s">
        <v>#N/A Requesting Data...3780738017</v>
        <stp/>
        <stp>BDP|3148875793996064929</stp>
        <tr r="C96" s="14"/>
      </tp>
      <tp t="s">
        <v>#N/A Requesting Data...3144781006</v>
        <stp/>
        <stp>BDP|2385765087726799625</stp>
        <tr r="C81" s="12"/>
      </tp>
      <tp t="s">
        <v>#N/A Requesting Data...3715438948</v>
        <stp/>
        <stp>BDP|6382844146643508403</stp>
        <tr r="AH34" s="14"/>
      </tp>
      <tp t="s">
        <v>#N/A N/A</v>
        <stp/>
        <stp>BDP|3105969924762568723</stp>
        <tr r="J20" s="14"/>
        <tr r="J20" s="14"/>
      </tp>
      <tp t="s">
        <v>#N/A Requesting Data...3323107926</v>
        <stp/>
        <stp>BDP|8800728779584237155</stp>
        <tr r="AB75" s="14"/>
        <tr r="AB75" s="14"/>
      </tp>
      <tp t="s">
        <v>#N/A Requesting Data...3063373297</v>
        <stp/>
        <stp>BDP|8191220930373173761</stp>
        <tr r="AD108" s="14"/>
      </tp>
      <tp t="s">
        <v>#N/A Requesting Data...3183982546</v>
        <stp/>
        <stp>BDP|8913521226303145186</stp>
        <tr r="AE93" s="14"/>
      </tp>
      <tp t="s">
        <v>#N/A Requesting Data...2926643380</v>
        <stp/>
        <stp>BDP|1655321075250341860</stp>
        <tr r="AK19" s="1"/>
      </tp>
      <tp t="s">
        <v>#N/A Requesting Data...2831661216</v>
        <stp/>
        <stp>BDP|8269148886949067543</stp>
        <tr r="I45" s="14"/>
        <tr r="I45" s="14"/>
      </tp>
      <tp t="s">
        <v>#N/A N/A</v>
        <stp/>
        <stp>BDP|2136932384147277903</stp>
        <tr r="Z19" s="1"/>
      </tp>
      <tp t="s">
        <v>#N/A N/A</v>
        <stp/>
        <stp>BDP|2494613542109190425</stp>
        <tr r="AB12" s="1"/>
      </tp>
      <tp t="s">
        <v>#N/A Requesting Data...2913118362</v>
        <stp/>
        <stp>BDP|2658370975808689363</stp>
        <tr r="I11" s="14"/>
      </tp>
      <tp t="s">
        <v>#N/A Requesting Data...3229894301</v>
        <stp/>
        <stp>BDP|8279003916006787266</stp>
        <tr r="H82" s="14"/>
      </tp>
      <tp t="s">
        <v>#N/A Requesting Data...3097846151</v>
        <stp/>
        <stp>BDP|4225445819274339899</stp>
        <tr r="K52" s="14"/>
      </tp>
      <tp t="s">
        <v>#N/A Requesting Data...3164769738</v>
        <stp/>
        <stp>BDP|9405783639904534457</stp>
        <tr r="AE82" s="14"/>
      </tp>
      <tp t="s">
        <v>#N/A N/A</v>
        <stp/>
        <stp>BDS|8492778754852271508</stp>
        <tr r="AI103" s="14"/>
        <tr r="AI103" s="14"/>
        <tr r="AI105" s="14"/>
        <tr r="AI105" s="14"/>
        <tr r="AI104" s="14"/>
        <tr r="AI104" s="14"/>
        <tr r="AI107" s="14"/>
        <tr r="AI107" s="14"/>
      </tp>
      <tp t="s">
        <v>#N/A N/A</v>
        <stp/>
        <stp>BDP|1626293983291055790</stp>
        <tr r="D11" s="7"/>
      </tp>
      <tp t="s">
        <v>#N/A Requesting Data...2984478192</v>
        <stp/>
        <stp>BDP|9707819306804038854</stp>
        <tr r="AN104" s="14"/>
      </tp>
      <tp t="s">
        <v>#N/A Requesting Data...3220917397</v>
        <stp/>
        <stp>BDP|1911660677996523873</stp>
        <tr r="AL71" s="14"/>
      </tp>
      <tp t="s">
        <v>#N/A Requesting Data...3918517644</v>
        <stp/>
        <stp>BDP|1500091642969799232</stp>
        <tr r="AQ87" s="14"/>
      </tp>
      <tp t="s">
        <v>#N/A N/A</v>
        <stp/>
        <stp>BDP|9717760453971154498</stp>
        <tr r="E14" s="1"/>
      </tp>
      <tp t="s">
        <v>#N/A Requesting Data...3510446524</v>
        <stp/>
        <stp>BDP|6980943377340325622</stp>
        <tr r="H97" s="16"/>
        <tr r="H97" s="16"/>
        <tr r="F99" s="14"/>
        <tr r="F99" s="14"/>
      </tp>
      <tp t="s">
        <v>#N/A Requesting Data...4091765018</v>
        <stp/>
        <stp>BDP|7030790547508720228</stp>
        <tr r="I81" s="14"/>
        <tr r="I81" s="14"/>
      </tp>
      <tp t="s">
        <v>#N/A Requesting Data...3806614180</v>
        <stp/>
        <stp>BDP|9702858738445462958</stp>
        <tr r="AR23" s="14"/>
      </tp>
      <tp t="s">
        <v>#N/A Requesting Data...4213824578</v>
        <stp/>
        <stp>BDP|4455202331019789298</stp>
        <tr r="AT101" s="14"/>
      </tp>
      <tp t="s">
        <v>#N/A N/A</v>
        <stp/>
        <stp>BDH|2566491206510996889</stp>
        <tr r="AE110" s="14"/>
      </tp>
      <tp t="s">
        <v>#N/A N/A</v>
        <stp/>
        <stp>BDH|7378302922019954134</stp>
        <tr r="AN13" s="1"/>
      </tp>
      <tp t="s">
        <v>#N/A N/A</v>
        <stp/>
        <stp>BDH|1055710784304803469</stp>
        <tr r="X14" s="7"/>
      </tp>
      <tp t="s">
        <v>#N/A Requesting Data...3915477947</v>
        <stp/>
        <stp>BDP|7656321258286483905</stp>
        <tr r="G26" s="14"/>
      </tp>
      <tp t="s">
        <v>#N/A Requesting Data...3192633609</v>
        <stp/>
        <stp>BDP|7852613243263721857</stp>
        <tr r="AQ44" s="14"/>
      </tp>
      <tp t="s">
        <v>#N/A Requesting Data...3157229185</v>
        <stp/>
        <stp>BDP|5866746394317746277</stp>
        <tr r="G53" s="14"/>
      </tp>
      <tp t="s">
        <v>#N/A Requesting Data...2851738003</v>
        <stp/>
        <stp>BDP|4377105398023534164</stp>
        <tr r="AO94" s="14"/>
        <tr r="AO94" s="14"/>
      </tp>
      <tp t="s">
        <v>#N/A Requesting Data...4011069850</v>
        <stp/>
        <stp>BDP|2310401108671249916</stp>
        <tr r="AS63" s="14"/>
      </tp>
      <tp t="s">
        <v>#N/A Requesting Data...3736355024</v>
        <stp/>
        <stp>BDP|9446774651143237684</stp>
        <tr r="AE56" s="14"/>
      </tp>
      <tp t="s">
        <v>#N/A Requesting Data...3414636807</v>
        <stp/>
        <stp>BDP|9173616904882589397</stp>
        <tr r="AH99" s="14"/>
      </tp>
      <tp t="s">
        <v>#N/A Requesting Data...3225353714</v>
        <stp/>
        <stp>BDP|7024878547440070593</stp>
        <tr r="AQ29" s="14"/>
      </tp>
      <tp t="s">
        <v>#N/A Requesting Data...4115577169</v>
        <stp/>
        <stp>BDP|9401144468231823195</stp>
        <tr r="F12" s="12"/>
      </tp>
      <tp t="s">
        <v>#N/A Requesting Data...3481227408</v>
        <stp/>
        <stp>BDP|8450619406757280782</stp>
        <tr r="I59" s="14"/>
        <tr r="I59" s="14"/>
      </tp>
      <tp t="s">
        <v>#N/A Requesting Data...4292009197</v>
        <stp/>
        <stp>BDP|3817101885637179351</stp>
        <tr r="AH37" s="14"/>
      </tp>
      <tp t="s">
        <v>#N/A Requesting Data...3852631478</v>
        <stp/>
        <stp>BDP|4335199790013610158</stp>
        <tr r="D71" s="12"/>
      </tp>
      <tp t="s">
        <v>#N/A N/A</v>
        <stp/>
        <stp>BDP|9596199977306593778</stp>
        <tr r="S23" s="7"/>
      </tp>
      <tp t="s">
        <v>#N/A Requesting Data...3753258378</v>
        <stp/>
        <stp>BDP|4630319439252160817</stp>
        <tr r="I33" s="14"/>
        <tr r="I33" s="14"/>
      </tp>
      <tp t="s">
        <v>#N/A N/A</v>
        <stp/>
        <stp>BDP|3589299415877632916</stp>
        <tr r="AH18" s="14"/>
        <tr r="AH18" s="14"/>
      </tp>
      <tp t="s">
        <v>#N/A N/A</v>
        <stp/>
        <stp>BDP|1411006088814638343</stp>
        <tr r="AC15" s="1"/>
      </tp>
      <tp t="s">
        <v>#N/A Requesting Data...3498915154</v>
        <stp/>
        <stp>BDP|7229259289863047006</stp>
        <tr r="AK94" s="14"/>
      </tp>
      <tp t="s">
        <v>#N/A N/A</v>
        <stp/>
        <stp>BDP|3690421425628685395</stp>
        <tr r="L17" s="16"/>
        <tr r="L16" s="16"/>
      </tp>
      <tp t="s">
        <v>#N/A Requesting Data...3577500099</v>
        <stp/>
        <stp>BDP|2036631490983509093</stp>
        <tr r="AL56" s="14"/>
      </tp>
      <tp t="s">
        <v>#N/A N/A</v>
        <stp/>
        <stp>BDP|3235479181123916220</stp>
        <tr r="E12" s="4"/>
      </tp>
      <tp t="s">
        <v>#N/A N/A</v>
        <stp/>
        <stp>BDP|4842730485816937385</stp>
        <tr r="T42" s="14"/>
        <tr r="T42" s="14"/>
      </tp>
      <tp t="s">
        <v>#N/A N/A</v>
        <stp/>
        <stp>BDP|4715269843694926841</stp>
        <tr r="J66" s="14"/>
        <tr r="J66" s="14"/>
      </tp>
      <tp t="s">
        <v>#N/A N/A</v>
        <stp/>
        <stp>BDP|8429017818455591277</stp>
        <tr r="AH46" s="14"/>
        <tr r="AH46" s="14"/>
      </tp>
      <tp t="s">
        <v>#N/A Requesting Data...4110599155</v>
        <stp/>
        <stp>BDP|4940855677811036444</stp>
        <tr r="C76" s="16"/>
        <tr r="D78" s="14"/>
      </tp>
      <tp t="s">
        <v>#N/A Requesting Data...4207192747</v>
        <stp/>
        <stp>BDP|7413753179639402036</stp>
        <tr r="F19" s="1"/>
      </tp>
      <tp t="s">
        <v>#N/A Requesting Data...3476291009</v>
        <stp/>
        <stp>BDP|8083238558321714008</stp>
        <tr r="K25" s="14"/>
      </tp>
      <tp t="s">
        <v>#N/A Requesting Data...3139413527</v>
        <stp/>
        <stp>BDP|3816403386796109735</stp>
        <tr r="AS51" s="14"/>
      </tp>
      <tp t="s">
        <v>#N/A Requesting Data...3000924012</v>
        <stp/>
        <stp>BDP|6839817934634854794</stp>
        <tr r="C48" s="14"/>
      </tp>
      <tp t="s">
        <v>#N/A Requesting Data...3751360686</v>
        <stp/>
        <stp>BDP|4002001353319766686</stp>
        <tr r="F68" s="14"/>
        <tr r="F68" s="14"/>
        <tr r="H66" s="16"/>
        <tr r="H66" s="16"/>
      </tp>
      <tp t="s">
        <v>#N/A N/A</v>
        <stp/>
        <stp>BDP|5428662728949288659</stp>
        <tr r="V20" s="7"/>
      </tp>
      <tp t="s">
        <v>#N/A Requesting Data...3499414741</v>
        <stp/>
        <stp>BDP|5138740371378091393</stp>
        <tr r="AU69" s="14"/>
      </tp>
      <tp t="s">
        <v>#N/A Requesting Data...3535773444</v>
        <stp/>
        <stp>BDP|1899014525614173902</stp>
        <tr r="C86" s="12"/>
      </tp>
      <tp t="s">
        <v>#N/A N/A</v>
        <stp/>
        <stp>BDP|5485299386832597335</stp>
        <tr r="AC12" s="1"/>
      </tp>
      <tp t="s">
        <v>#N/A Requesting Data...4041086253</v>
        <stp/>
        <stp>BDP|4247732925496963903</stp>
        <tr r="AH73" s="14"/>
      </tp>
      <tp t="s">
        <v>#N/A N/A</v>
        <stp/>
        <stp>BDP|2352917573573802141</stp>
        <tr r="L9" s="16"/>
      </tp>
      <tp t="s">
        <v>#N/A Requesting Data...3280997145</v>
        <stp/>
        <stp>BDP|8349667904811899144</stp>
        <tr r="E45" s="16"/>
      </tp>
      <tp t="s">
        <v>#N/A N/A</v>
        <stp/>
        <stp>BDH|9752906726924863849</stp>
        <tr r="AI26" s="14"/>
        <tr r="AI27" s="14"/>
      </tp>
      <tp t="s">
        <v>#N/A N/A</v>
        <stp/>
        <stp>BDP|4234686315998820550</stp>
        <tr r="U26" s="6"/>
      </tp>
      <tp t="s">
        <v>#N/A Requesting Data...4083292526</v>
        <stp/>
        <stp>BDP|5263465055002174825</stp>
        <tr r="AT60" s="14"/>
      </tp>
      <tp t="s">
        <v>#N/A N/A</v>
        <stp/>
        <stp>BDP|4335643251830094941</stp>
        <tr r="F16" s="6"/>
      </tp>
      <tp t="s">
        <v>#N/A N/A</v>
        <stp/>
        <stp>BDP|7686029947495566843</stp>
        <tr r="AA12" s="1"/>
      </tp>
      <tp t="s">
        <v>#N/A Requesting Data...3351807958</v>
        <stp/>
        <stp>BDP|7241531763739356334</stp>
        <tr r="E58" s="16"/>
      </tp>
      <tp t="s">
        <v>#N/A N/A</v>
        <stp/>
        <stp>BDP|1922293321968235719</stp>
        <tr r="J77" s="16"/>
        <tr r="J19" s="16"/>
      </tp>
      <tp t="s">
        <v>#N/A Requesting Data...3925697058</v>
        <stp/>
        <stp>BDP|7775626230908585422</stp>
        <tr r="C101" s="14"/>
      </tp>
      <tp t="s">
        <v>#N/A Requesting Data...3519271703</v>
        <stp/>
        <stp>BDP|7404300436299795079</stp>
        <tr r="AD57" s="14"/>
      </tp>
      <tp t="s">
        <v>#N/A Requesting Data...3348652407</v>
        <stp/>
        <stp>BDP|6323640342262342843</stp>
        <tr r="I108" s="14"/>
      </tp>
      <tp t="s">
        <v>#N/A Requesting Data...3468416347</v>
        <stp/>
        <stp>BDP|5201568655883618856</stp>
        <tr r="H69" s="14"/>
      </tp>
      <tp t="s">
        <v>#N/A N/A</v>
        <stp/>
        <stp>BDH|5566875126146499720</stp>
        <tr r="AE19" s="14"/>
      </tp>
      <tp t="s">
        <v>#N/A Requesting Data...3786705253</v>
        <stp/>
        <stp>BDP|1260437330600076829</stp>
        <tr r="G39" s="14"/>
      </tp>
      <tp t="s">
        <v>#N/A Requesting Data...3715314001</v>
        <stp/>
        <stp>BDP|4707465024119766518</stp>
        <tr r="AB74" s="14"/>
        <tr r="AB74" s="14"/>
      </tp>
      <tp t="s">
        <v>#N/A N/A</v>
        <stp/>
        <stp>BDP|7158135939898126397</stp>
        <tr r="R12" s="4"/>
      </tp>
      <tp t="s">
        <v>#N/A Requesting Data...3041748284</v>
        <stp/>
        <stp>BDP|3337563025973457970</stp>
        <tr r="AO92" s="14"/>
        <tr r="AO92" s="14"/>
      </tp>
      <tp t="s">
        <v>#N/A Requesting Data...4147635011</v>
        <stp/>
        <stp>BDP|1077440424898669158</stp>
        <tr r="AL92" s="14"/>
      </tp>
      <tp t="s">
        <v>#N/A Requesting Data...3761775763</v>
        <stp/>
        <stp>BDP|1240548316849714244</stp>
        <tr r="AD17" s="14"/>
      </tp>
      <tp t="s">
        <v>#N/A Requesting Data...3474153683</v>
        <stp/>
        <stp>BDP|1583836809674815348</stp>
        <tr r="AE58" s="14"/>
      </tp>
      <tp t="s">
        <v>#N/A Requesting Data...3358447505</v>
        <stp/>
        <stp>BDP|1210805050046342425</stp>
        <tr r="H94" s="16"/>
        <tr r="H94" s="16"/>
        <tr r="F96" s="14"/>
        <tr r="F96" s="14"/>
      </tp>
      <tp t="s">
        <v>#N/A Requesting Data...3815487134</v>
        <stp/>
        <stp>BDP|9360328477063280073</stp>
        <tr r="AH71" s="14"/>
      </tp>
      <tp t="s">
        <v>#N/A Requesting Data...2927696044</v>
        <stp/>
        <stp>BDP|9861411622466937716</stp>
        <tr r="AQ36" s="14"/>
      </tp>
      <tp t="s">
        <v>#N/A Requesting Data...2957882295</v>
        <stp/>
        <stp>BDP|6571612026959738569</stp>
        <tr r="AR53" s="14"/>
      </tp>
      <tp t="s">
        <v>#N/A Requesting Data...3815796154</v>
        <stp/>
        <stp>BDP|2899098292210302509</stp>
        <tr r="AN82" s="14"/>
      </tp>
      <tp t="s">
        <v>#N/A Requesting Data...3105624976</v>
        <stp/>
        <stp>BDP|6835062125812331885</stp>
        <tr r="E11" s="16"/>
      </tp>
      <tp t="s">
        <v>#N/A N/A</v>
        <stp/>
        <stp>BDP|2325194134787890966</stp>
        <tr r="AH21" s="14"/>
        <tr r="AH21" s="14"/>
      </tp>
      <tp t="s">
        <v>#N/A Requesting Data...3009365177</v>
        <stp/>
        <stp>BDP|6543218087607065539</stp>
        <tr r="H24" s="16"/>
        <tr r="H24" s="16"/>
        <tr r="F26" s="14"/>
        <tr r="F26" s="14"/>
      </tp>
      <tp t="s">
        <v>#N/A Requesting Data...3394701692</v>
        <stp/>
        <stp>BDP|9100159710186543118</stp>
        <tr r="G29" s="16"/>
      </tp>
      <tp t="s">
        <v>#N/A Requesting Data...3924426534</v>
        <stp/>
        <stp>BDP|4184789972652343887</stp>
        <tr r="AL21" s="14"/>
      </tp>
      <tp t="s">
        <v>#N/A Requesting Data...3289605574</v>
        <stp/>
        <stp>BDP|9369169542261384343</stp>
        <tr r="F27" s="14"/>
        <tr r="F27" s="14"/>
        <tr r="H25" s="16"/>
        <tr r="H25" s="16"/>
      </tp>
      <tp t="s">
        <v>#N/A Requesting Data...3937431622</v>
        <stp/>
        <stp>BDP|3698467001579534052</stp>
        <tr r="G42" s="16"/>
      </tp>
      <tp t="s">
        <v>#N/A Requesting Data...4160028210</v>
        <stp/>
        <stp>BDP|5465178993982136108</stp>
        <tr r="C58" s="14"/>
      </tp>
      <tp t="s">
        <v>#N/A Requesting Data...3042390851</v>
        <stp/>
        <stp>BDP|9783433947511544675</stp>
        <tr r="G103" s="16"/>
      </tp>
      <tp t="s">
        <v>#N/A Requesting Data...3460789538</v>
        <stp/>
        <stp>BDP|3608337152329258240</stp>
        <tr r="C15" s="12"/>
      </tp>
      <tp t="s">
        <v>#N/A Requesting Data...3191236472</v>
        <stp/>
        <stp>BDP|7164570654088442171</stp>
        <tr r="AK88" s="14"/>
      </tp>
      <tp t="s">
        <v>#N/A Requesting Data...3183351821</v>
        <stp/>
        <stp>BDP|3257345760808035079</stp>
        <tr r="I92" s="14"/>
        <tr r="I92" s="14"/>
      </tp>
      <tp t="s">
        <v>#N/A Requesting Data...3650813986</v>
        <stp/>
        <stp>BDP|6878977046205920014</stp>
        <tr r="AH102" s="14"/>
      </tp>
      <tp t="s">
        <v>#N/A Requesting Data...3094624994</v>
        <stp/>
        <stp>BDP|4305938827319150804</stp>
        <tr r="E13" s="16"/>
      </tp>
      <tp t="s">
        <v>#N/A Requesting Data...3480054830</v>
        <stp/>
        <stp>BDP|5808389689387606795</stp>
        <tr r="AL49" s="14"/>
      </tp>
      <tp t="s">
        <v>#N/A N/A</v>
        <stp/>
        <stp>BDP|8509544927433511250</stp>
        <tr r="I44" s="16"/>
        <tr r="I15" s="16"/>
        <tr r="I47" s="16"/>
      </tp>
      <tp t="s">
        <v>#N/A Requesting Data...3406736626</v>
        <stp/>
        <stp>BDP|1823274601015104896</stp>
        <tr r="D83" s="12"/>
      </tp>
      <tp t="s">
        <v>#N/A Requesting Data...3468525059</v>
        <stp/>
        <stp>BDP|8318472134536201742</stp>
        <tr r="AD60" s="14"/>
      </tp>
      <tp t="s">
        <v>#N/A Requesting Data...3658236137</v>
        <stp/>
        <stp>BDP|4870190680430440331</stp>
        <tr r="K31" s="14"/>
      </tp>
      <tp t="s">
        <v>#N/A Requesting Data...3752799627</v>
        <stp/>
        <stp>BDP|7249634105556426961</stp>
        <tr r="AK47" s="14"/>
      </tp>
      <tp t="s">
        <v>#N/A N/A</v>
        <stp/>
        <stp>BDH|2033060971883610872</stp>
        <tr r="Y23" s="6"/>
      </tp>
      <tp t="s">
        <v>#N/A Requesting Data...3315420461</v>
        <stp/>
        <stp>BDP|2248134495762078639</stp>
        <tr r="AL57" s="14"/>
      </tp>
      <tp t="s">
        <v>#N/A N/A</v>
        <stp/>
        <stp>BDP|4272116400193788834</stp>
        <tr r="J65" s="14"/>
        <tr r="J65" s="14"/>
      </tp>
      <tp t="s">
        <v>#N/A Requesting Data...3932810612</v>
        <stp/>
        <stp>BDP|7189133511890787937</stp>
        <tr r="H47" s="14"/>
      </tp>
      <tp t="s">
        <v>#N/A Requesting Data...3729470936</v>
        <stp/>
        <stp>BDP|6543644530344347956</stp>
        <tr r="C61" s="12"/>
      </tp>
      <tp t="s">
        <v>#N/A N/A</v>
        <stp/>
        <stp>BDP|2058044422009437756</stp>
        <tr r="N40" s="14"/>
      </tp>
      <tp t="s">
        <v>#N/A Requesting Data...4179953499</v>
        <stp/>
        <stp>BDP|9625015286238253747</stp>
        <tr r="AN48" s="14"/>
      </tp>
      <tp t="s">
        <v>#N/A Requesting Data...3053323518</v>
        <stp/>
        <stp>BDP|1049256590341623544</stp>
        <tr r="I43" s="14"/>
        <tr r="I43" s="14"/>
      </tp>
      <tp t="s">
        <v>#N/A Requesting Data...3453730240</v>
        <stp/>
        <stp>BDP|1651400727400310956</stp>
        <tr r="F98" s="16"/>
      </tp>
      <tp t="s">
        <v>#N/A Requesting Data...4010789820</v>
        <stp/>
        <stp>BDP|1975895063902615313</stp>
        <tr r="AE76" s="14"/>
      </tp>
      <tp t="s">
        <v>#N/A N/A</v>
        <stp/>
        <stp>BDP|5889890855355547355</stp>
        <tr r="S14" s="4"/>
      </tp>
      <tp t="s">
        <v>#N/A Requesting Data...3124045785</v>
        <stp/>
        <stp>BDP|8885200054133848207</stp>
        <tr r="AD75" s="14"/>
      </tp>
      <tp t="s">
        <v>#N/A Requesting Data...3868576908</v>
        <stp/>
        <stp>BDP|4614572115499237728</stp>
        <tr r="C93" s="12"/>
      </tp>
      <tp t="s">
        <v>#N/A Requesting Data...3731595759</v>
        <stp/>
        <stp>BDP|2924907058989035951</stp>
        <tr r="D27" s="16"/>
        <tr r="E29" s="14"/>
      </tp>
      <tp t="s">
        <v>#N/A Requesting Data...2968610175</v>
        <stp/>
        <stp>BDP|8649657507079414941</stp>
        <tr r="AS75" s="14"/>
      </tp>
      <tp t="s">
        <v>#N/A Requesting Data...4054610301</v>
        <stp/>
        <stp>BDP|8646500000513507073</stp>
        <tr r="F23" s="16"/>
      </tp>
      <tp t="s">
        <v>#N/A Requesting Data...4217830086</v>
        <stp/>
        <stp>BDP|1140013283182533520</stp>
        <tr r="AQ45" s="14"/>
      </tp>
      <tp t="s">
        <v>#N/A N/A</v>
        <stp/>
        <stp>BDH|6919546439477261921</stp>
        <tr r="X11" s="6"/>
      </tp>
      <tp t="s">
        <v>#N/A Requesting Data...3043221320</v>
        <stp/>
        <stp>BDP|1840519197021904225</stp>
        <tr r="H108" s="16"/>
        <tr r="H108" s="16"/>
        <tr r="F110" s="14"/>
        <tr r="F110" s="14"/>
      </tp>
      <tp t="s">
        <v>#N/A Requesting Data...4028815301</v>
        <stp/>
        <stp>BDP|3064249669450805907</stp>
        <tr r="AM101" s="14"/>
      </tp>
      <tp t="s">
        <v>#N/A Requesting Data...3767995186</v>
        <stp/>
        <stp>BDP|8870225818420606519</stp>
        <tr r="AM16" s="14"/>
      </tp>
      <tp t="s">
        <v>#N/A N/A</v>
        <stp/>
        <stp>BDP|6147674981841405766</stp>
        <tr r="B6" s="5"/>
      </tp>
      <tp t="s">
        <v>#N/A Requesting Data...3408895737</v>
        <stp/>
        <stp>BDP|9484302842686088634</stp>
        <tr r="H32" s="16"/>
        <tr r="H32" s="16"/>
        <tr r="F34" s="14"/>
        <tr r="F34" s="14"/>
      </tp>
      <tp t="s">
        <v>#N/A N/A</v>
        <stp/>
        <stp>BDP|2106027793272547702</stp>
        <tr r="AH105" s="14"/>
        <tr r="AH105" s="14"/>
      </tp>
      <tp t="s">
        <v>#N/A N/A</v>
        <stp/>
        <stp>BDP|1913976864236774680</stp>
        <tr r="U24" s="7"/>
      </tp>
      <tp t="s">
        <v>#N/A Requesting Data...3232558127</v>
        <stp/>
        <stp>BDP|5618851782649014242</stp>
        <tr r="I27" s="14"/>
        <tr r="I27" s="14"/>
      </tp>
      <tp t="s">
        <v>#N/A N/A</v>
        <stp/>
        <stp>BDP|4011912635656008611</stp>
        <tr r="G15" s="6"/>
      </tp>
      <tp t="s">
        <v>#N/A N/A</v>
        <stp/>
        <stp>BDP|7419957975426155101</stp>
        <tr r="E19" s="6"/>
      </tp>
    </main>
    <main first="bloomberg.ccyreader">
      <tp t="e">
        <v>#N/A</v>
        <stp/>
        <stp>#track</stp>
        <stp>DBG</stp>
        <stp>XBRA</stp>
        <stp>1.0</stp>
        <stp>OpenFile</stp>
        <tr r="A41" s="17"/>
      </tp>
    </main>
    <main first="bofaddin.rtdserver">
      <tp t="s">
        <v>#N/A N/A</v>
        <stp/>
        <stp>BDP|7173913354456910279</stp>
        <tr r="F14" s="4"/>
      </tp>
      <tp t="s">
        <v>#N/A Requesting Data...4191345054</v>
        <stp/>
        <stp>BDP|9001635738507325429</stp>
        <tr r="E79" s="16"/>
      </tp>
      <tp t="s">
        <v>#N/A N/A</v>
        <stp/>
        <stp>BDP|1691717237922382895</stp>
        <tr r="J49" s="16"/>
      </tp>
      <tp t="s">
        <v>#N/A Requesting Data...4110938469</v>
        <stp/>
        <stp>BDP|2738685603013046862</stp>
        <tr r="AL61" s="14"/>
      </tp>
      <tp t="s">
        <v>#N/A Requesting Data...4133276059</v>
        <stp/>
        <stp>BDP|8941536225020767021</stp>
        <tr r="AE101" s="14"/>
      </tp>
      <tp t="s">
        <v>#N/A N/A</v>
        <stp/>
        <stp>BDP|9953979944632388934</stp>
        <tr r="T60" s="14"/>
        <tr r="T60" s="14"/>
      </tp>
      <tp t="s">
        <v>#N/A Requesting Data...4227155212</v>
        <stp/>
        <stp>BDP|8971464076403289704</stp>
        <tr r="AS109" s="14"/>
      </tp>
      <tp t="s">
        <v>#N/A Requesting Data...4065859302</v>
        <stp/>
        <stp>BDP|2600000098641494515</stp>
        <tr r="AO83" s="14"/>
        <tr r="AO83" s="14"/>
      </tp>
      <tp t="s">
        <v>#N/A Requesting Data...3094284355</v>
        <stp/>
        <stp>BDP|4557755200258319489</stp>
        <tr r="AF83" s="14"/>
      </tp>
      <tp t="s">
        <v>#N/A Requesting Data...695897697</v>
        <stp/>
        <stp>BDP|7804843760695605319</stp>
        <tr r="K86" s="14"/>
      </tp>
      <tp t="s">
        <v>#N/A Requesting Data...181071421</v>
        <stp/>
        <stp>BDP|2435999314836283309</stp>
        <tr r="AR87" s="14"/>
      </tp>
      <tp t="s">
        <v>#N/A Requesting Data...3322790157</v>
        <stp/>
        <stp>BDP|1040632193466314787</stp>
        <tr r="I77" s="14"/>
        <tr r="I77" s="14"/>
      </tp>
      <tp t="s">
        <v>#N/A Requesting Data...2881406109</v>
        <stp/>
        <stp>BDP|6595598582631125542</stp>
        <tr r="AD34" s="14"/>
      </tp>
      <tp t="s">
        <v>#N/A N/A</v>
        <stp/>
        <stp>BDH|7845988156194952046</stp>
        <tr r="AE15" s="14"/>
      </tp>
      <tp t="s">
        <v>#N/A N/A</v>
        <stp/>
        <stp>BDP|4776504819908732712</stp>
        <tr r="T46" s="14"/>
        <tr r="T46" s="14"/>
      </tp>
      <tp t="s">
        <v>#N/A N/A</v>
        <stp/>
        <stp>BDP|8715126922875775182</stp>
        <tr r="L96" s="16"/>
        <tr r="L97" s="16"/>
        <tr r="L98" s="16"/>
        <tr r="L95" s="16"/>
      </tp>
      <tp t="s">
        <v>#N/A Requesting Data...2591523290</v>
        <stp/>
        <stp>BDP|6392273638428734030</stp>
        <tr r="H106" s="16"/>
        <tr r="H106" s="16"/>
        <tr r="F108" s="14"/>
        <tr r="F108" s="14"/>
      </tp>
      <tp t="s">
        <v>#N/A Requesting Data...2645670693</v>
        <stp/>
        <stp>BDP|7696662799096631175</stp>
        <tr r="AT110" s="14"/>
      </tp>
      <tp t="s">
        <v>#N/A Requesting Data...1111794414</v>
        <stp/>
        <stp>BDP|3336722609812270922</stp>
        <tr r="F18" s="12"/>
      </tp>
      <tp t="s">
        <v>#N/A Requesting Data...3551841708</v>
        <stp/>
        <stp>BDP|5432861954246693185</stp>
        <tr r="H67" s="14"/>
      </tp>
      <tp t="s">
        <v>#N/A N/A</v>
        <stp/>
        <stp>BDP|9907600434933651033</stp>
        <tr r="T78" s="14"/>
        <tr r="T78" s="14"/>
      </tp>
      <tp t="s">
        <v>#N/A N/A</v>
        <stp/>
        <stp>BDP|8947202857577048769</stp>
        <tr r="J78" s="14"/>
        <tr r="J78" s="14"/>
      </tp>
      <tp t="s">
        <v>#N/A N/A</v>
        <stp/>
        <stp>BDP|2260183667012212877</stp>
        <tr r="L26" s="16"/>
      </tp>
      <tp t="s">
        <v>#N/A Requesting Data...3159807168</v>
        <stp/>
        <stp>BDP|5756652948741322911</stp>
        <tr r="I67" s="14"/>
        <tr r="I67" s="14"/>
      </tp>
      <tp t="s">
        <v>#N/A N/A</v>
        <stp/>
        <stp>BDP|3071401434999850248</stp>
        <tr r="X93" s="14"/>
      </tp>
      <tp t="s">
        <v>#N/A N/A</v>
        <stp/>
        <stp>BDH|5593414988404304279</stp>
        <tr r="X18" s="7"/>
      </tp>
      <tp t="s">
        <v>#N/A Requesting Data...2578191591</v>
        <stp/>
        <stp>BDP|3315699632308880198</stp>
        <tr r="AB108" s="14"/>
        <tr r="AB108" s="14"/>
      </tp>
      <tp t="s">
        <v>#N/A Requesting Data...1064218094</v>
        <stp/>
        <stp>BDP|3717017637997844806</stp>
        <tr r="H35" s="14"/>
      </tp>
      <tp t="s">
        <v>#N/A Requesting Data...866204497</v>
        <stp/>
        <stp>BDP|4134718448251838997</stp>
        <tr r="V99" s="14"/>
      </tp>
      <tp t="s">
        <v>#N/A Requesting Data...3492625450</v>
        <stp/>
        <stp>BDP|6182684993291158726</stp>
        <tr r="AL25" s="14"/>
      </tp>
      <tp t="s">
        <v>#N/A Requesting Data...1821263071</v>
        <stp/>
        <stp>BDP|6152057618379645139</stp>
        <tr r="V27" s="14"/>
      </tp>
      <tp t="s">
        <v>#N/A Requesting Data...1999067938</v>
        <stp/>
        <stp>BDP|8302687855817058375</stp>
        <tr r="E42" s="14"/>
        <tr r="D40" s="16"/>
      </tp>
      <tp t="s">
        <v>#N/A Requesting Data...2288509909</v>
        <stp/>
        <stp>BDP|8981077039653728794</stp>
        <tr r="I19" s="14"/>
        <tr r="I19" s="14"/>
      </tp>
      <tp t="s">
        <v>#N/A Requesting Data...2917890020</v>
        <stp/>
        <stp>BDP|4415138981326775482</stp>
        <tr r="M15" s="1"/>
      </tp>
      <tp t="s">
        <v>#N/A Requesting Data...2487587575</v>
        <stp/>
        <stp>BDP|9806014741172501044</stp>
        <tr r="AU98" s="14"/>
      </tp>
      <tp t="s">
        <v>#N/A Requesting Data...4173335457</v>
        <stp/>
        <stp>BDP|9334193437534361072</stp>
        <tr r="AB46" s="14"/>
        <tr r="AB46" s="14"/>
      </tp>
      <tp t="s">
        <v>#N/A Requesting Data...2705386388</v>
        <stp/>
        <stp>BDP|8085745738383015059</stp>
        <tr r="AU38" s="14"/>
      </tp>
      <tp t="s">
        <v>#N/A N/A</v>
        <stp/>
        <stp>BDH|3218167400508860554</stp>
        <tr r="AE88" s="14"/>
      </tp>
      <tp t="s">
        <v>#N/A Requesting Data...3792981648</v>
        <stp/>
        <stp>BDP|8569044770712994262</stp>
        <tr r="AM27" s="14"/>
      </tp>
      <tp t="s">
        <v>#N/A Requesting Data...3967093270</v>
        <stp/>
        <stp>BDP|1149920877335876523</stp>
        <tr r="AN69" s="14"/>
      </tp>
      <tp t="s">
        <v>#N/A N/A</v>
        <stp/>
        <stp>BDP|3329262861960841828</stp>
        <tr r="J92" s="16"/>
        <tr r="J93" s="16"/>
        <tr r="J81" s="16"/>
      </tp>
      <tp t="s">
        <v>#N/A Requesting Data...3144405799</v>
        <stp/>
        <stp>BDP|1595174180055515298</stp>
        <tr r="AL38" s="14"/>
      </tp>
      <tp t="s">
        <v>#N/A N/A</v>
        <stp/>
        <stp>BDP|9462095085896355859</stp>
        <tr r="E22" s="7"/>
      </tp>
      <tp t="s">
        <v>#N/A N/A</v>
        <stp/>
        <stp>BDP|8616292670163170103</stp>
        <tr r="T97" s="14"/>
        <tr r="T97" s="14"/>
      </tp>
      <tp t="s">
        <v>#N/A Requesting Data...2532216001</v>
        <stp/>
        <stp>BDP|6985966143203263713</stp>
        <tr r="AQ33" s="14"/>
      </tp>
      <tp t="s">
        <v>#N/A N/A</v>
        <stp/>
        <stp>BDP|4887358420808289204</stp>
        <tr r="W24" s="6"/>
      </tp>
      <tp t="s">
        <v>#N/A Requesting Data...2520816264</v>
        <stp/>
        <stp>BDP|8182686270682701424</stp>
        <tr r="AL22" s="1"/>
      </tp>
      <tp t="s">
        <v>#N/A Requesting Data...1384989381</v>
        <stp/>
        <stp>BDP|6392743289087113134</stp>
        <tr r="AR81" s="14"/>
      </tp>
      <tp t="s">
        <v>#N/A Requesting Data...3083957051</v>
        <stp/>
        <stp>BDP|7575637489932780440</stp>
        <tr r="C117" s="12"/>
      </tp>
      <tp t="s">
        <v>#N/A N/A</v>
        <stp/>
        <stp>BDP|1757945861092762396</stp>
        <tr r="AB11" s="5"/>
      </tp>
      <tp t="s">
        <v>#N/A Requesting Data...2674710238</v>
        <stp/>
        <stp>BDP|1807674576456741927</stp>
        <tr r="AF82" s="14"/>
      </tp>
      <tp t="s">
        <v>#N/A N/A</v>
        <stp/>
        <stp>BDP|3614415386502426296</stp>
        <tr r="J20" s="16"/>
        <tr r="J61" s="16"/>
        <tr r="J63" s="16"/>
      </tp>
      <tp t="s">
        <v>#N/A N/A</v>
        <stp/>
        <stp>BDH|2436884063912321109</stp>
        <tr r="AO12" s="1"/>
      </tp>
      <tp t="s">
        <v>#N/A Requesting Data...4240623341</v>
        <stp/>
        <stp>BDP|9485785741491454443</stp>
        <tr r="AN53" s="14"/>
      </tp>
      <tp t="s">
        <v>#N/A N/A</v>
        <stp/>
        <stp>BDP|1591820141002255099</stp>
        <tr r="AH49" s="14"/>
        <tr r="AH49" s="14"/>
      </tp>
      <tp t="s">
        <v>#N/A N/A</v>
        <stp/>
        <stp>BDH|7241169987935812462</stp>
        <tr r="AE26" s="14"/>
      </tp>
      <tp t="s">
        <v>#N/A N/A</v>
        <stp/>
        <stp>BDH|3487910831641048796</stp>
        <tr r="AE20" s="14"/>
      </tp>
      <tp t="s">
        <v>#N/A Requesting Data...1478805896</v>
        <stp/>
        <stp>BDP|9705577087319241279</stp>
        <tr r="AM90" s="14"/>
        <tr r="AM91" s="14"/>
      </tp>
      <tp t="s">
        <v>#N/A Requesting Data...4102298528</v>
        <stp/>
        <stp>BDP|6900120149145481941</stp>
        <tr r="C101" s="12"/>
      </tp>
      <tp t="s">
        <v>#N/A Requesting Data...910083946</v>
        <stp/>
        <stp>BDP|9634121193009684730</stp>
        <tr r="AN30" s="14"/>
      </tp>
      <tp t="s">
        <v>#N/A N/A</v>
        <stp/>
        <stp>BDP|4812694610374029835</stp>
        <tr r="AH28" s="14"/>
        <tr r="AH28" s="14"/>
      </tp>
      <tp t="s">
        <v>#N/A Requesting Data...1000853075</v>
        <stp/>
        <stp>BDP|8682387046378352899</stp>
        <tr r="AU97" s="14"/>
      </tp>
      <tp t="s">
        <v>#N/A Requesting Data...1757246271</v>
        <stp/>
        <stp>BDP|1656527590031163370</stp>
        <tr r="AB64" s="14"/>
        <tr r="AB64" s="14"/>
      </tp>
      <tp t="s">
        <v>#N/A Requesting Data...2609291094</v>
        <stp/>
        <stp>BDP|2272952614586863392</stp>
        <tr r="G41" s="16"/>
      </tp>
      <tp t="s">
        <v>#N/A N/A</v>
        <stp/>
        <stp>BDP|9517930390401687734</stp>
        <tr r="W21" s="6"/>
      </tp>
      <tp t="s">
        <v>#N/A N/A</v>
        <stp/>
        <stp>BDP|5367044267294181823</stp>
        <tr r="N93" s="14"/>
      </tp>
      <tp t="s">
        <v>#N/A Requesting Data...2510277435</v>
        <stp/>
        <stp>BDP|8530879232898692450</stp>
        <tr r="AS68" s="14"/>
      </tp>
      <tp t="s">
        <v>#N/A Requesting Data...2759790808</v>
        <stp/>
        <stp>BDP|7787070345388247442</stp>
        <tr r="K96" s="14"/>
        <tr r="K96" s="14"/>
      </tp>
      <tp t="s">
        <v>#N/A Requesting Data...3798374265</v>
        <stp/>
        <stp>BDP|3023914947702196347</stp>
        <tr r="I60" s="14"/>
        <tr r="I60" s="14"/>
      </tp>
      <tp t="s">
        <v>#N/A Requesting Data...434194457</v>
        <stp/>
        <stp>BDP|2227575436573171810</stp>
        <tr r="AP70" s="14"/>
      </tp>
      <tp t="s">
        <v>#N/A Requesting Data...2992023956</v>
        <stp/>
        <stp>BDP|9412023951005579610</stp>
        <tr r="AD23" s="14"/>
      </tp>
      <tp t="s">
        <v>#N/A Requesting Data...509050746</v>
        <stp/>
        <stp>BDP|8972821918207254924</stp>
        <tr r="F101" s="14"/>
        <tr r="F101" s="14"/>
        <tr r="H99" s="16"/>
        <tr r="H99" s="16"/>
      </tp>
      <tp t="s">
        <v>#N/A Requesting Data...431007929</v>
        <stp/>
        <stp>BDP|9367405276392778713</stp>
        <tr r="AP11" s="14"/>
      </tp>
      <tp t="s">
        <v>#N/A Requesting Data...588337531</v>
        <stp/>
        <stp>BDP|8934604868322602543</stp>
        <tr r="AR78" s="14"/>
      </tp>
      <tp t="s">
        <v>#N/A N/A</v>
        <stp/>
        <stp>BDH|8435442026359487815</stp>
        <tr r="W11" s="7"/>
      </tp>
      <tp t="s">
        <v>#N/A Requesting Data...3399967864</v>
        <stp/>
        <stp>BDP|3611977079945830706</stp>
        <tr r="AK22" s="14"/>
      </tp>
      <tp t="s">
        <v>#N/A Requesting Data...1839697203</v>
        <stp/>
        <stp>BDP|5278613888953201791</stp>
        <tr r="AN94" s="14"/>
      </tp>
      <tp t="s">
        <v>#N/A Requesting Data...742275730</v>
        <stp/>
        <stp>BDP|9625348225230275753</stp>
        <tr r="AK39" s="14"/>
      </tp>
      <tp t="s">
        <v>#N/A N/A</v>
        <stp/>
        <stp>BDP|5471218797562676342</stp>
        <tr r="J41" s="16"/>
      </tp>
      <tp t="s">
        <v>#N/A Requesting Data...983680249</v>
        <stp/>
        <stp>BDP|4460642608654186994</stp>
        <tr r="C100" s="14"/>
      </tp>
      <tp t="s">
        <v>#N/A Requesting Data...4182526063</v>
        <stp/>
        <stp>BDP|9553138555994667650</stp>
        <tr r="AL59" s="14"/>
      </tp>
      <tp t="s">
        <v>#N/A Requesting Data...1041523154</v>
        <stp/>
        <stp>BDP|2013114141778870082</stp>
        <tr r="G25" s="16"/>
      </tp>
      <tp t="s">
        <v>#N/A N/A</v>
        <stp/>
        <stp>BDH|3700905422425099257</stp>
        <tr r="X20" s="6"/>
      </tp>
      <tp t="s">
        <v>#N/A Requesting Data...123161374</v>
        <stp/>
        <stp>BDP|9291201568466974422</stp>
        <tr r="AF74" s="14"/>
      </tp>
      <tp t="s">
        <v>#N/A Requesting Data...773890623</v>
        <stp/>
        <stp>BDP|2695674821030530943</stp>
        <tr r="AK54" s="14"/>
      </tp>
      <tp t="s">
        <v>#N/A Requesting Data...4085649294</v>
        <stp/>
        <stp>BDP|2535343397176369146</stp>
        <tr r="AQ82" s="14"/>
      </tp>
      <tp t="s">
        <v>#N/A N/A</v>
        <stp/>
        <stp>BDP|1212600523293025903</stp>
        <tr r="AB16" s="1"/>
      </tp>
      <tp t="s">
        <v>#N/A Requesting Data...3719090802</v>
        <stp/>
        <stp>BDP|9563444360433465747</stp>
        <tr r="D11" s="1"/>
      </tp>
      <tp t="s">
        <v>#N/A N/A</v>
        <stp/>
        <stp>BDP|4425329991494158501</stp>
        <tr r="N37" s="14"/>
      </tp>
      <tp t="s">
        <v>#N/A Requesting Data...3521437652</v>
        <stp/>
        <stp>BDP|7180143095782038260</stp>
        <tr r="M18" s="1"/>
      </tp>
      <tp t="s">
        <v>#N/A Requesting Data...1510358965</v>
        <stp/>
        <stp>BDP|4905994131370164161</stp>
        <tr r="AM99" s="14"/>
      </tp>
      <tp t="s">
        <v>#N/A N/A</v>
        <stp/>
        <stp>BDP|1194325747148444169</stp>
        <tr r="K12" s="1"/>
      </tp>
      <tp t="s">
        <v>#N/A Requesting Data...1737385310</v>
        <stp/>
        <stp>BDP|2712703791106306531</stp>
        <tr r="F102" s="16"/>
      </tp>
      <tp t="s">
        <v>#N/A Requesting Data...1429338975</v>
        <stp/>
        <stp>BDP|8260546781358061217</stp>
        <tr r="AM75" s="14"/>
      </tp>
      <tp t="s">
        <v>#N/A Requesting Data...2137655530</v>
        <stp/>
        <stp>BDP|3579872211635709026</stp>
        <tr r="D40" s="14"/>
        <tr r="C38" s="16"/>
      </tp>
      <tp t="s">
        <v>#N/A Requesting Data...4127038272</v>
        <stp/>
        <stp>BDP|2222695705538874300</stp>
        <tr r="D66" s="12"/>
      </tp>
      <tp t="s">
        <v>#N/A N/A</v>
        <stp/>
        <stp>BDP|6111973623017340502</stp>
        <tr r="T109" s="14"/>
        <tr r="T109" s="14"/>
      </tp>
      <tp t="s">
        <v>#N/A N/A</v>
        <stp/>
        <stp>BDP|9078693086219947106</stp>
        <tr r="S13" s="7"/>
      </tp>
      <tp t="s">
        <v>#N/A Requesting Data...1160742208</v>
        <stp/>
        <stp>BDP|7277501676438425267</stp>
        <tr r="AD86" s="14"/>
      </tp>
      <tp t="s">
        <v>#N/A Requesting Data...3323738889</v>
        <stp/>
        <stp>BDP|6133968674776428119</stp>
        <tr r="K53" s="14"/>
      </tp>
      <tp t="s">
        <v>#N/A N/A</v>
        <stp/>
        <stp>BDP|3222471727428297277</stp>
        <tr r="L46" s="16"/>
        <tr r="L54" s="16"/>
        <tr r="L55" s="16"/>
      </tp>
      <tp t="s">
        <v>#N/A Requesting Data...3700854521</v>
        <stp/>
        <stp>BDP|8225405032503726308</stp>
        <tr r="AK74" s="14"/>
      </tp>
      <tp t="s">
        <v>#N/A Requesting Data...3064108771</v>
        <stp/>
        <stp>BDP|8967516598692498937</stp>
        <tr r="E81" s="16"/>
      </tp>
      <tp t="s">
        <v>#N/A Requesting Data...3525728031</v>
        <stp/>
        <stp>BDP|5055442898211381685</stp>
        <tr r="C84" s="16"/>
        <tr r="D86" s="14"/>
      </tp>
      <tp t="s">
        <v>#N/A Requesting Data...2374475886</v>
        <stp/>
        <stp>BDP|1766722803061340828</stp>
        <tr r="E52" s="16"/>
      </tp>
      <tp t="s">
        <v>#N/A Requesting Data...2233007121</v>
        <stp/>
        <stp>BDP|1484448476324956989</stp>
        <tr r="F76" s="16"/>
      </tp>
      <tp t="s">
        <v>#N/A Requesting Data...2501680535</v>
        <stp/>
        <stp>BDP|4789560027695336922</stp>
        <tr r="H27" s="16"/>
        <tr r="H27" s="16"/>
        <tr r="F29" s="14"/>
        <tr r="F29" s="14"/>
      </tp>
      <tp t="s">
        <v>#N/A Requesting Data...2961845142</v>
        <stp/>
        <stp>BDP|2446632787987667417</stp>
        <tr r="AS88" s="14"/>
      </tp>
      <tp t="s">
        <v>#N/A Requesting Data...1618399512</v>
        <stp/>
        <stp>BDP|3661065795535744056</stp>
        <tr r="G79" s="16"/>
      </tp>
      <tp t="s">
        <v>#N/A N/A</v>
        <stp/>
        <stp>BDH|7078031028493931956</stp>
        <tr r="AI88" s="14"/>
      </tp>
      <tp t="s">
        <v>#N/A Requesting Data...3533674328</v>
        <stp/>
        <stp>BDP|3852444444494597895</stp>
        <tr r="AU22" s="14"/>
      </tp>
      <tp t="s">
        <v>#N/A Requesting Data...1792076465</v>
        <stp/>
        <stp>BDP|9377108433170600425</stp>
        <tr r="AK43" s="14"/>
      </tp>
      <tp t="s">
        <v>#N/A Requesting Data...1919353448</v>
        <stp/>
        <stp>BDP|8418687946826976372</stp>
        <tr r="I104" s="14"/>
        <tr r="I104" s="14"/>
      </tp>
      <tp t="s">
        <v>#N/A N/A</v>
        <stp/>
        <stp>BDP|8850206975974120684</stp>
        <tr r="T26" s="14"/>
        <tr r="T26" s="14"/>
      </tp>
      <tp t="s">
        <v>#N/A N/A</v>
        <stp/>
        <stp>BDS|5219630191466300377</stp>
        <tr r="P53" s="12"/>
      </tp>
      <tp t="s">
        <v>#N/A N/A</v>
        <stp/>
        <stp>BDP|1421511481890785373</stp>
        <tr r="J90" s="14"/>
        <tr r="J91" s="14"/>
      </tp>
      <tp t="s">
        <v>#N/A Requesting Data...1328542608</v>
        <stp/>
        <stp>BDP|8015241961751719265</stp>
        <tr r="AL55" s="14"/>
      </tp>
      <tp t="s">
        <v>#N/A N/A</v>
        <stp/>
        <stp>BDP|8451184177514656595</stp>
        <tr r="L34" s="16"/>
      </tp>
      <tp t="s">
        <v>#N/A N/A</v>
        <stp/>
        <stp>BDP|4687398669647773956</stp>
        <tr r="I20" s="16"/>
        <tr r="I61" s="16"/>
        <tr r="I63" s="16"/>
      </tp>
      <tp t="s">
        <v>#N/A Requesting Data...3588369550</v>
        <stp/>
        <stp>BDP|5225478995651722639</stp>
        <tr r="H27" s="14"/>
      </tp>
      <tp t="s">
        <v>#N/A Requesting Data...1604504145</v>
        <stp/>
        <stp>BDP|9695614170396110129</stp>
        <tr r="F62" s="14"/>
        <tr r="F62" s="14"/>
        <tr r="H60" s="16"/>
        <tr r="H60" s="16"/>
      </tp>
      <tp t="s">
        <v>#N/A N/A</v>
        <stp/>
        <stp>BDH|9135400870132612733</stp>
        <tr r="AE87" s="14"/>
      </tp>
      <tp t="s">
        <v>#N/A N/A</v>
        <stp/>
        <stp>BDH|2667945171422091172</stp>
        <tr r="AE70" s="14"/>
      </tp>
      <tp t="s">
        <v>#N/A N/A</v>
        <stp/>
        <stp>BDH|6921767194604988365</stp>
        <tr r="AE96" s="14"/>
      </tp>
      <tp t="s">
        <v>#N/A N/A</v>
        <stp/>
        <stp>BDP|3562674825839609142</stp>
        <tr r="T27" s="14"/>
        <tr r="T27" s="14"/>
      </tp>
      <tp t="s">
        <v>#N/A Requesting Data...641310263</v>
        <stp/>
        <stp>BDP|2692903754257731603</stp>
        <tr r="H28" s="16"/>
        <tr r="H28" s="16"/>
        <tr r="F30" s="14"/>
        <tr r="F30" s="14"/>
      </tp>
      <tp t="s">
        <v>#N/A Requesting Data...1676620488</v>
        <stp/>
        <stp>BDP|7457939433143272137</stp>
        <tr r="C106" s="12"/>
      </tp>
      <tp t="s">
        <v>#N/A Requesting Data...695491887</v>
        <stp/>
        <stp>BDP|5560656534729506647</stp>
        <tr r="E35" s="16"/>
      </tp>
      <tp t="s">
        <v>#N/A N/A</v>
        <stp/>
        <stp>BDH|6755052796941872192</stp>
        <tr r="AE45" s="14"/>
      </tp>
      <tp t="s">
        <v>#N/A N/A</v>
        <stp/>
        <stp>BCOUNTPERIODS|845648800898249199</stp>
        <tr r="AI15" s="1"/>
        <tr r="AI16" s="1"/>
        <tr r="AI17" s="1"/>
        <tr r="AI18" s="1"/>
        <tr r="AI13" s="1"/>
        <tr r="AI21" s="1"/>
        <tr r="AI14" s="1"/>
        <tr r="AI22" s="1"/>
        <tr r="AI11" s="1"/>
        <tr r="AI23" s="1"/>
        <tr r="AI24" s="1"/>
        <tr r="AI25" s="1"/>
        <tr r="AI26" s="1"/>
        <tr r="AI19" s="1"/>
        <tr r="AI27" s="1"/>
        <tr r="AI12" s="1"/>
        <tr r="AI20" s="1"/>
        <tr r="AI28" s="1"/>
      </tp>
      <tp t="s">
        <v>#N/A N/A</v>
        <stp/>
        <stp>BDP|9458748301560843635</stp>
        <tr r="V96" s="14"/>
      </tp>
      <tp t="s">
        <v>#N/A Requesting Data...831838952</v>
        <stp/>
        <stp>BDP|1013649601366824971</stp>
        <tr r="V95" s="14"/>
      </tp>
      <tp t="s">
        <v>#N/A Requesting Data...3648434037</v>
        <stp/>
        <stp>BDP|3182261386971394083</stp>
        <tr r="G46" s="16"/>
      </tp>
      <tp t="s">
        <v>#N/A Requesting Data...3916071872</v>
        <stp/>
        <stp>BDP|1084325740186066880</stp>
        <tr r="AO36" s="14"/>
        <tr r="AO36" s="14"/>
      </tp>
      <tp t="s">
        <v>#N/A N/A</v>
        <stp/>
        <stp>BDP|7130068658563071956</stp>
        <tr r="J15" s="4"/>
      </tp>
      <tp t="s">
        <v>#N/A Requesting Data...4028784483</v>
        <stp/>
        <stp>BDP|5541797201369296356</stp>
        <tr r="E25" s="14"/>
        <tr r="D23" s="16"/>
      </tp>
      <tp t="s">
        <v>#N/A N/A</v>
        <stp/>
        <stp>BDP|4273508378706039804</stp>
        <tr r="R11" s="5"/>
      </tp>
      <tp t="s">
        <v>#N/A Requesting Data...3580211131</v>
        <stp/>
        <stp>BDP|2730553093305866336</stp>
        <tr r="F20" s="16"/>
      </tp>
      <tp t="s">
        <v>#N/A Requesting Data...2286874034</v>
        <stp/>
        <stp>BDP|2172376436423836921</stp>
        <tr r="C53" s="14"/>
      </tp>
      <tp t="s">
        <v>#N/A N/A</v>
        <stp/>
        <stp>BDH|3670875047693972451</stp>
        <tr r="AE54" s="14"/>
      </tp>
      <tp t="s">
        <v>#N/A Requesting Data...1867884648</v>
        <stp/>
        <stp>BDP|8182380943347946086</stp>
        <tr r="D35" s="14"/>
        <tr r="C33" s="16"/>
      </tp>
      <tp t="s">
        <v>#N/A Requesting Data...2057286252</v>
        <stp/>
        <stp>BDP|1646452161113075898</stp>
        <tr r="AU84" s="14"/>
      </tp>
      <tp t="s">
        <v>#N/A Requesting Data...1572230842</v>
        <stp/>
        <stp>BDP|1590715978379759001</stp>
        <tr r="C59" s="16"/>
        <tr r="D61" s="14"/>
      </tp>
      <tp t="s">
        <v>#N/A Requesting Data...260364568</v>
        <stp/>
        <stp>BDP|4606590711988662035</stp>
        <tr r="AT52" s="14"/>
      </tp>
      <tp t="s">
        <v>#N/A Requesting Data...3910064181</v>
        <stp/>
        <stp>BDP|2707094697126797551</stp>
        <tr r="D98" s="16"/>
        <tr r="E100" s="14"/>
      </tp>
      <tp t="s">
        <v>#N/A N/A</v>
        <stp/>
        <stp>BDP|3681256751299004593</stp>
        <tr r="F23" s="7"/>
      </tp>
      <tp t="s">
        <v>#N/A Requesting Data...399661099</v>
        <stp/>
        <stp>BDP|2390435351143317892</stp>
        <tr r="AL86" s="14"/>
      </tp>
      <tp t="s">
        <v>#N/A Requesting Data...2034400983</v>
        <stp/>
        <stp>BDP|1933218045839574633</stp>
        <tr r="AR101" s="14"/>
      </tp>
      <tp t="s">
        <v>#N/A Requesting Data...3034879668</v>
        <stp/>
        <stp>BDP|9541001238482608039</stp>
        <tr r="I23" s="14"/>
        <tr r="I23" s="14"/>
      </tp>
      <tp t="s">
        <v>#N/A N/A</v>
        <stp/>
        <stp>BDP|1003978496428939107</stp>
        <tr r="I35" s="16"/>
      </tp>
      <tp t="s">
        <v>#N/A Requesting Data...1911172604</v>
        <stp/>
        <stp>BDP|7895076296956934088</stp>
        <tr r="G63" s="16"/>
      </tp>
      <tp t="s">
        <v>#N/A Requesting Data...1828518317</v>
        <stp/>
        <stp>BDP|7337444486357026498</stp>
        <tr r="G99" s="16"/>
      </tp>
      <tp t="s">
        <v>#N/A Requesting Data...1107701578</v>
        <stp/>
        <stp>BDP|8109245407534990637</stp>
        <tr r="C103" s="12"/>
      </tp>
      <tp t="s">
        <v>#N/A Requesting Data...666387349</v>
        <stp/>
        <stp>BDP|6261632008440513844</stp>
        <tr r="C81" s="16"/>
        <tr r="D83" s="14"/>
      </tp>
      <tp t="s">
        <v>#N/A Requesting Data...412310759</v>
        <stp/>
        <stp>BDP|2374243281283701392</stp>
        <tr r="E25" s="16"/>
      </tp>
      <tp t="s">
        <v>#N/A Requesting Data...1556992790</v>
        <stp/>
        <stp>BDP|6027021688526716046</stp>
        <tr r="AF32" s="14"/>
      </tp>
      <tp t="s">
        <v>#N/A Requesting Data...2889776244</v>
        <stp/>
        <stp>BDP|8309117341643213681</stp>
        <tr r="D109" s="12"/>
      </tp>
      <tp t="s">
        <v>#N/A Requesting Data...940167024</v>
        <stp/>
        <stp>BDP|2452957863552861730</stp>
        <tr r="AL26" s="14"/>
      </tp>
      <tp t="s">
        <v>#N/A Requesting Data...4000254453</v>
        <stp/>
        <stp>BDP|6192717189771794070</stp>
        <tr r="AS83" s="14"/>
      </tp>
      <tp t="s">
        <v>#N/A Requesting Data...4204546224</v>
        <stp/>
        <stp>BDP|3851481769210579954</stp>
        <tr r="AU47" s="14"/>
      </tp>
      <tp t="s">
        <v>#N/A N/A</v>
        <stp/>
        <stp>BDP|1716485310428338456</stp>
        <tr r="G13" s="6"/>
      </tp>
      <tp t="s">
        <v>#N/A N/A</v>
        <stp/>
        <stp>BDP|2265571378861032935</stp>
        <tr r="AH53" s="14"/>
        <tr r="AH53" s="14"/>
      </tp>
      <tp t="s">
        <v>#N/A Requesting Data...4129633284</v>
        <stp/>
        <stp>BDP|2094595209736834963</stp>
        <tr r="K44" s="14"/>
      </tp>
      <tp t="s">
        <v>#N/A Requesting Data...3471503207</v>
        <stp/>
        <stp>BDP|9335677195077824977</stp>
        <tr r="F40" s="14"/>
        <tr r="F40" s="14"/>
        <tr r="H38" s="16"/>
        <tr r="H38" s="16"/>
      </tp>
      <tp t="s">
        <v>#N/A Requesting Data...4053895882</v>
        <stp/>
        <stp>BDP|9598117008733709359</stp>
        <tr r="AE44" s="14"/>
      </tp>
      <tp t="s">
        <v>#N/A N/A</v>
        <stp/>
        <stp>BDP|9911630044831119218</stp>
        <tr r="J102" s="16"/>
        <tr r="J101" s="16"/>
        <tr r="J103" s="16"/>
        <tr r="J105" s="16"/>
      </tp>
      <tp t="s">
        <v>#N/A Requesting Data...2952865202</v>
        <stp/>
        <stp>BDP|2479957101232860166</stp>
        <tr r="I37" s="14"/>
        <tr r="I37" s="14"/>
      </tp>
      <tp t="s">
        <v>#N/A Requesting Data...2685521364</v>
        <stp/>
        <stp>BDP|9600280242484107331</stp>
        <tr r="AP29" s="14"/>
      </tp>
      <tp t="s">
        <v>#N/A N/A</v>
        <stp/>
        <stp>BDP|6846368550271492943</stp>
        <tr r="T25" s="14"/>
        <tr r="T25" s="14"/>
      </tp>
      <tp t="s">
        <v>#N/A Requesting Data...2143701623</v>
        <stp/>
        <stp>BDP|8832149256553528719</stp>
        <tr r="AF25" s="14"/>
      </tp>
      <tp t="s">
        <v>#N/A N/A</v>
        <stp/>
        <stp>BDP|6686795570517288934</stp>
        <tr r="M13" s="4"/>
      </tp>
      <tp t="s">
        <v>#N/A N/A</v>
        <stp/>
        <stp>BDP|6917527800983484810</stp>
        <tr r="J39" s="14"/>
        <tr r="J39" s="14"/>
      </tp>
      <tp t="s">
        <v>#N/A Requesting Data...3408883543</v>
        <stp/>
        <stp>BDP|9687634674916828670</stp>
        <tr r="AQ74" s="14"/>
      </tp>
      <tp t="s">
        <v>#N/A N/A</v>
        <stp/>
        <stp>BDP|5888025005545964888</stp>
        <tr r="AH25" s="14"/>
        <tr r="AH25" s="14"/>
      </tp>
      <tp t="s">
        <v>#N/A N/A</v>
        <stp/>
        <stp>BDH|8619327178860062428</stp>
        <tr r="AE91" s="14"/>
        <tr r="AE90" s="14"/>
      </tp>
      <tp t="s">
        <v>#N/A Requesting Data...800432971</v>
        <stp/>
        <stp>BDP|5284023902348483598</stp>
        <tr r="E25" s="1"/>
        <tr r="E13" s="5"/>
        <tr r="E24" s="1"/>
        <tr r="E16" s="4"/>
        <tr r="E12" s="5"/>
        <tr r="E26" s="1"/>
        <tr r="E28" s="1"/>
        <tr r="E18" s="4"/>
        <tr r="E21" s="4"/>
        <tr r="E17" s="4"/>
        <tr r="E19" s="4"/>
        <tr r="E20" s="4"/>
        <tr r="E27" s="1"/>
      </tp>
      <tp t="s">
        <v>#N/A N/A</v>
        <stp/>
        <stp>BDP|8621764033503585791</stp>
        <tr r="X40" s="14"/>
      </tp>
      <tp t="s">
        <v>#N/A N/A</v>
        <stp/>
        <stp>BDP|5781869935244999220</stp>
        <tr r="AH73" s="14"/>
        <tr r="AH73" s="14"/>
      </tp>
      <tp t="s">
        <v>#N/A Requesting Data...3864474743</v>
        <stp/>
        <stp>BDP|5145796201493082963</stp>
        <tr r="C103" s="16"/>
        <tr r="D105" s="14"/>
      </tp>
      <tp t="s">
        <v>#N/A Requesting Data...362577292</v>
        <stp/>
        <stp>BDP|6511986820047402267</stp>
        <tr r="G101" s="14"/>
      </tp>
      <tp t="s">
        <v>#N/A Requesting Data...1180463094</v>
        <stp/>
        <stp>BDP|3720684030217733975</stp>
        <tr r="AF100" s="14"/>
      </tp>
      <tp t="s">
        <v>#N/A Requesting Data...1395902318</v>
        <stp/>
        <stp>BDP|5107988312775118058</stp>
        <tr r="AP81" s="14"/>
      </tp>
      <tp t="s">
        <v>#N/A Requesting Data...2859892886</v>
        <stp/>
        <stp>BDP|9908576562423454142</stp>
        <tr r="AK35" s="14"/>
      </tp>
      <tp t="s">
        <v>#N/A Requesting Data...1678076937</v>
        <stp/>
        <stp>BDP|6962695399322630337</stp>
        <tr r="AS105" s="14"/>
      </tp>
      <tp t="s">
        <v>#N/A N/A</v>
        <stp/>
        <stp>BDP|5764398257283403818</stp>
        <tr r="Z13" s="1"/>
      </tp>
      <tp t="s">
        <v>#N/A Requesting Data...1861808262</v>
        <stp/>
        <stp>BDP|8175733551000818272</stp>
        <tr r="K35" s="14"/>
      </tp>
      <tp t="s">
        <v>#N/A Requesting Data...4127914192</v>
        <stp/>
        <stp>BDP|2820315705269971089</stp>
        <tr r="V72" s="14"/>
      </tp>
      <tp t="s">
        <v>#N/A Requesting Data...533323566</v>
        <stp/>
        <stp>BDP|1232447628528044738</stp>
        <tr r="AS84" s="14"/>
      </tp>
      <tp t="s">
        <v>#N/A N/A</v>
        <stp/>
        <stp>BDP|8726229887148792282</stp>
        <tr r="H14" s="1"/>
      </tp>
      <tp t="s">
        <v>#N/A Requesting Data...3825267404</v>
        <stp/>
        <stp>BDP|7918719779357489883</stp>
        <tr r="AU60" s="14"/>
      </tp>
      <tp t="s">
        <v>#N/A Requesting Data...3938060572</v>
        <stp/>
        <stp>BDP|8882329214772550067</stp>
        <tr r="AE78" s="14"/>
      </tp>
      <tp t="s">
        <v>#N/A N/A</v>
        <stp/>
        <stp>BDP|4535304639654725865</stp>
        <tr r="N21" s="7"/>
      </tp>
      <tp t="s">
        <v>#N/A N/A</v>
        <stp/>
        <stp>BDH|9605623551905825702</stp>
        <tr r="AE95" s="14"/>
      </tp>
      <tp t="s">
        <v>#N/A N/A</v>
        <stp/>
        <stp>BDH|3381304691677769681</stp>
        <tr r="AO17" s="1"/>
      </tp>
      <tp t="s">
        <v>#N/A N/A</v>
        <stp/>
        <stp>BDP|2705831057636874199</stp>
        <tr r="AC14" s="1"/>
      </tp>
      <tp t="s">
        <v>#N/A Requesting Data...670777627</v>
        <stp/>
        <stp>BDP|9692949006968391058</stp>
        <tr r="AK98" s="14"/>
      </tp>
      <tp t="s">
        <v>#N/A Requesting Data...2175854067</v>
        <stp/>
        <stp>BDP|6141945302243625439</stp>
        <tr r="I85" s="14"/>
        <tr r="I85" s="14"/>
      </tp>
      <tp t="s">
        <v>#N/A Requesting Data...3014140214</v>
        <stp/>
        <stp>BDP|5685752196046178560</stp>
        <tr r="AD62" s="14"/>
      </tp>
      <tp t="s">
        <v>#N/A Requesting Data...2252218934</v>
        <stp/>
        <stp>BDP|2581972650826168018</stp>
        <tr r="AN63" s="14"/>
      </tp>
      <tp t="s">
        <v>#N/A N/A</v>
        <stp/>
        <stp>BDP|5278139583413202726</stp>
        <tr r="F21" s="7"/>
      </tp>
      <tp t="s">
        <v>#N/A Requesting Data...2404398746</v>
        <stp/>
        <stp>BDP|5416684291080855271</stp>
        <tr r="AL83" s="14"/>
      </tp>
      <tp t="s">
        <v>#N/A Requesting Data...948324516</v>
        <stp/>
        <stp>BDP|4357035770659067223</stp>
        <tr r="K36" s="14"/>
      </tp>
      <tp t="s">
        <v>#N/A N/A</v>
        <stp/>
        <stp>BDP|4769640720428733063</stp>
        <tr r="AH45" s="14"/>
        <tr r="AH45" s="14"/>
      </tp>
      <tp t="s">
        <v>#N/A Requesting Data...3760305422</v>
        <stp/>
        <stp>BDP|5520519563416536808</stp>
        <tr r="H31" s="14"/>
      </tp>
      <tp t="s">
        <v>#N/A N/A</v>
        <stp/>
        <stp>BDP|5885321895343551496</stp>
        <tr r="P18" s="6"/>
      </tp>
      <tp t="s">
        <v>#N/A Requesting Data...2816595084</v>
        <stp/>
        <stp>BDP|3867844302394461798</stp>
        <tr r="F11" s="16"/>
      </tp>
      <tp t="s">
        <v>#N/A N/A</v>
        <stp/>
        <stp>BDP|1534044792249787973</stp>
        <tr r="T37" s="14"/>
        <tr r="T37" s="14"/>
      </tp>
      <tp t="s">
        <v>#N/A Requesting Data...2683608682</v>
        <stp/>
        <stp>BDP|7530940070822587370</stp>
        <tr r="AP95" s="14"/>
      </tp>
      <tp t="s">
        <v>#N/A Requesting Data...966436224</v>
        <stp/>
        <stp>BDP|8538391921758802967</stp>
        <tr r="AQ77" s="14"/>
      </tp>
      <tp t="s">
        <v>#N/A N/A</v>
        <stp/>
        <stp>BDP|7582559022630451850</stp>
        <tr r="Y13" s="4"/>
      </tp>
      <tp t="s">
        <v>#N/A Requesting Data...2516131775</v>
        <stp/>
        <stp>BDP|8509741984759650606</stp>
        <tr r="H34" s="16"/>
        <tr r="H34" s="16"/>
        <tr r="F36" s="14"/>
        <tr r="F36" s="14"/>
      </tp>
      <tp t="s">
        <v>#N/A Requesting Data...3840805581</v>
        <stp/>
        <stp>BDP|2184008504222063863</stp>
        <tr r="AK104" s="14"/>
      </tp>
      <tp t="s">
        <v>#N/A N/A</v>
        <stp/>
        <stp>BDP|2444084369655394967</stp>
        <tr r="Y96" s="14"/>
      </tp>
      <tp t="s">
        <v>#N/A Requesting Data...2804456462</v>
        <stp/>
        <stp>BDP|1444252881897787479</stp>
        <tr r="AK84" s="14"/>
      </tp>
      <tp t="s">
        <v>#N/A N/A</v>
        <stp/>
        <stp>BDP|2249962168960913559</stp>
        <tr r="T23" s="7"/>
      </tp>
      <tp t="s">
        <v>#N/A Requesting Data...271268766</v>
        <stp/>
        <stp>BDP|2674255197539153854</stp>
        <tr r="D99" s="16"/>
        <tr r="E101" s="14"/>
      </tp>
      <tp t="s">
        <v>#N/A N/A</v>
        <stp/>
        <stp>BDH|1138415099322910607</stp>
        <tr r="AO18" s="1"/>
      </tp>
      <tp t="s">
        <v>#N/A N/A</v>
        <stp/>
        <stp>BDP|9474965183914774477</stp>
        <tr r="I30" s="16"/>
      </tp>
      <tp t="s">
        <v>#N/A Requesting Data...3316666613</v>
        <stp/>
        <stp>BDP|3310983502163916118</stp>
        <tr r="AD99" s="14"/>
      </tp>
      <tp t="s">
        <v>#N/A N/A</v>
        <stp/>
        <stp>BDP|8429372484048686302</stp>
        <tr r="I12" s="16"/>
        <tr r="I13" s="16"/>
        <tr r="I94" s="16"/>
      </tp>
      <tp t="s">
        <v>#N/A N/A</v>
        <stp/>
        <stp>BDP|7093776592232191359</stp>
        <tr r="T66" s="14"/>
        <tr r="T66" s="14"/>
      </tp>
      <tp t="s">
        <v>#N/A Requesting Data...2477270362</v>
        <stp/>
        <stp>BDP|2708268226029378352</stp>
        <tr r="G54" s="16"/>
      </tp>
      <tp t="s">
        <v>#N/A Requesting Data...2401445619</v>
        <stp/>
        <stp>BDP|5948045516118940439</stp>
        <tr r="I26" s="14"/>
      </tp>
      <tp t="s">
        <v>#N/A Requesting Data...394564800</v>
        <stp/>
        <stp>BDP|1873856212773916376</stp>
        <tr r="AQ28" s="14"/>
      </tp>
      <tp t="s">
        <v>#N/A N/A</v>
        <stp/>
        <stp>BDP|7950993658107063491</stp>
        <tr r="E18" s="6"/>
      </tp>
      <tp t="s">
        <v>#N/A N/A</v>
        <stp/>
        <stp>BDP|2775390091372934274</stp>
        <tr r="J102" s="14"/>
        <tr r="J102" s="14"/>
      </tp>
      <tp t="s">
        <v>#N/A N/A</v>
        <stp/>
        <stp>BDH|5112968322086719032</stp>
        <tr r="X12" s="7"/>
      </tp>
      <tp t="s">
        <v>#N/A Requesting Data...3361509235</v>
        <stp/>
        <stp>BDP|7891986479399725886</stp>
        <tr r="AL54" s="14"/>
      </tp>
      <tp t="s">
        <v>#N/A Requesting Data...3637635293</v>
        <stp/>
        <stp>BDP|7652021883615621278</stp>
        <tr r="I38" s="14"/>
        <tr r="I38" s="14"/>
      </tp>
      <tp t="s">
        <v>#N/A Requesting Data...1241895039</v>
        <stp/>
        <stp>BDP|7624999779412907395</stp>
        <tr r="D49" s="14"/>
        <tr r="C47" s="16"/>
      </tp>
      <tp t="s">
        <v>#N/A Requesting Data...2267486860</v>
        <stp/>
        <stp>BDP|6161049010839287613</stp>
        <tr r="AL66" s="14"/>
      </tp>
      <tp t="s">
        <v>#N/A Requesting Data...2085527339</v>
        <stp/>
        <stp>BDP|9938233869234289176</stp>
        <tr r="C71" s="12"/>
      </tp>
      <tp t="s">
        <v>#N/A Requesting Data...719095558</v>
        <stp/>
        <stp>BDP|1360019796161722152</stp>
        <tr r="K38" s="14"/>
      </tp>
      <tp t="s">
        <v>#N/A Requesting Data...3075007462</v>
        <stp/>
        <stp>BDP|9628555670856569509</stp>
        <tr r="AU42" s="14"/>
      </tp>
      <tp t="s">
        <v>#N/A Requesting Data...2680106940</v>
        <stp/>
        <stp>BDP|6418093629995692940</stp>
        <tr r="F32" s="16"/>
      </tp>
      <tp t="s">
        <v>#N/A Requesting Data...1789001146</v>
        <stp/>
        <stp>BDP|4753860050865083471</stp>
        <tr r="F84" s="16"/>
      </tp>
      <tp t="s">
        <v>#N/A N/A</v>
        <stp/>
        <stp>BDP|8622715330236512243</stp>
        <tr r="K12" s="16"/>
        <tr r="K13" s="16"/>
        <tr r="K94" s="16"/>
      </tp>
      <tp t="s">
        <v>#N/A Requesting Data...3662427930</v>
        <stp/>
        <stp>BDP|6449738863957418862</stp>
        <tr r="AO62" s="14"/>
        <tr r="AO62" s="14"/>
      </tp>
      <tp t="s">
        <v>#N/A Requesting Data...2487736218</v>
        <stp/>
        <stp>BDP|4409340885447308002</stp>
        <tr r="AL102" s="14"/>
      </tp>
      <tp t="s">
        <v>#N/A Requesting Data...1729220472</v>
        <stp/>
        <stp>BDP|8490624421441478547</stp>
        <tr r="C65" s="14"/>
      </tp>
      <tp t="s">
        <v>#N/A Requesting Data...804186331</v>
        <stp/>
        <stp>BDP|8685322849240337797</stp>
        <tr r="AP51" s="14"/>
      </tp>
      <tp t="s">
        <v>#N/A Requesting Data...365310209</v>
        <stp/>
        <stp>BDP|5178458892967780761</stp>
        <tr r="I86" s="14"/>
        <tr r="I86" s="14"/>
      </tp>
      <tp t="s">
        <v>#N/A N/A</v>
        <stp/>
        <stp>BDP|7606735570117244801</stp>
        <tr r="J26" s="14"/>
        <tr r="J26" s="14"/>
      </tp>
      <tp t="s">
        <v>#N/A Requesting Data...1589206127</v>
        <stp/>
        <stp>BDP|3577016400613122826</stp>
        <tr r="AS82" s="14"/>
      </tp>
      <tp t="s">
        <v>#N/A Requesting Data...1955041606</v>
        <stp/>
        <stp>BDP|1660490155551467997</stp>
        <tr r="AN50" s="14"/>
      </tp>
      <tp t="s">
        <v>#N/A Requesting Data...368019319</v>
        <stp/>
        <stp>BDP|1589929850825744078</stp>
        <tr r="AO78" s="14"/>
        <tr r="AO78" s="14"/>
      </tp>
      <tp t="s">
        <v>#N/A N/A</v>
        <stp/>
        <stp>BDP|6841769113719854128</stp>
        <tr r="V21" s="7"/>
      </tp>
      <tp t="s">
        <v>#N/A N/A</v>
        <stp/>
        <stp>BDH|7580978274195873490</stp>
        <tr r="AI106" s="14"/>
      </tp>
      <tp t="s">
        <v>#N/A N/A</v>
        <stp/>
        <stp>BDH|1316791378750248979</stp>
        <tr r="AE47" s="14"/>
      </tp>
      <tp t="s">
        <v>#N/A Requesting Data...3451068266</v>
        <stp/>
        <stp>BDP|7678274501925708832</stp>
        <tr r="AB61" s="14"/>
        <tr r="AB61" s="14"/>
      </tp>
      <tp t="s">
        <v>#N/A Requesting Data...2324656350</v>
        <stp/>
        <stp>BDP|1540088409088905194</stp>
        <tr r="K58" s="14"/>
      </tp>
      <tp t="s">
        <v>#N/A Requesting Data...2856201611</v>
        <stp/>
        <stp>BDP|8324152120893435063</stp>
        <tr r="H77" s="14"/>
      </tp>
      <tp t="s">
        <v>#N/A N/A</v>
        <stp/>
        <stp>BDP|2271165756916283842</stp>
        <tr r="P19" s="6"/>
      </tp>
      <tp t="s">
        <v>#N/A N/A</v>
        <stp/>
        <stp>BDP|5068622531789309142</stp>
        <tr r="J73" s="14"/>
        <tr r="J73" s="14"/>
      </tp>
      <tp t="s">
        <v>#N/A Requesting Data...3982514060</v>
        <stp/>
        <stp>BDP|9555547781855181951</stp>
        <tr r="AP74" s="14"/>
      </tp>
      <tp t="s">
        <v>#N/A N/A</v>
        <stp/>
        <stp>BDP|2466411101598623667</stp>
        <tr r="U20" s="1"/>
      </tp>
      <tp t="s">
        <v>#N/A N/A</v>
        <stp/>
        <stp>BDH|7585358587132653653</stp>
        <tr r="X15" s="6"/>
      </tp>
      <tp t="s">
        <v>#N/A Requesting Data...2838662459</v>
        <stp/>
        <stp>BDP|8588512840753218237</stp>
        <tr r="D10" s="16"/>
        <tr r="E12" s="14"/>
      </tp>
      <tp t="s">
        <v>#N/A Requesting Data...3048240897</v>
        <stp/>
        <stp>BDP|6059248582234142021</stp>
        <tr r="AS80" s="14"/>
      </tp>
      <tp t="s">
        <v>#N/A N/A</v>
        <stp/>
        <stp>BDP|9718861469338485791</stp>
        <tr r="F11" s="7"/>
      </tp>
      <tp t="s">
        <v>#N/A Requesting Data...3030760408</v>
        <stp/>
        <stp>BDP|9641609663639465841</stp>
        <tr r="D56" s="16"/>
        <tr r="E58" s="14"/>
      </tp>
      <tp t="s">
        <v>#N/A N/A</v>
        <stp/>
        <stp>BDP|9298129726653417178</stp>
        <tr r="T100" s="14"/>
        <tr r="T100" s="14"/>
      </tp>
      <tp t="s">
        <v>#N/A Requesting Data...4260335019</v>
        <stp/>
        <stp>BDP|3370568867359344147</stp>
        <tr r="AK70" s="14"/>
      </tp>
      <tp t="s">
        <v>#N/A Requesting Data...2928468937</v>
        <stp/>
        <stp>BDP|5549612367624172976</stp>
        <tr r="C48" s="16"/>
        <tr r="D50" s="14"/>
      </tp>
      <tp t="s">
        <v>#N/A Requesting Data...4076104374</v>
        <stp/>
        <stp>BDP|6137457520508956087</stp>
        <tr r="I80" s="14"/>
        <tr r="I80" s="14"/>
      </tp>
      <tp t="s">
        <v>#N/A Requesting Data...1921534145</v>
        <stp/>
        <stp>BDP|4188288672381911871</stp>
        <tr r="AL20" s="1"/>
      </tp>
      <tp t="s">
        <v>#N/A N/A</v>
        <stp/>
        <stp>BDP|5971875561700269381</stp>
        <tr r="T20" s="14"/>
        <tr r="T20" s="14"/>
      </tp>
      <tp t="s">
        <v>#N/A Requesting Data...4280825019</v>
        <stp/>
        <stp>BDP|5425901225265717334</stp>
        <tr r="AJ18" s="1"/>
      </tp>
      <tp t="s">
        <v>#N/A N/A</v>
        <stp/>
        <stp>BDP|3768888419984325601</stp>
        <tr r="P11" s="6"/>
      </tp>
      <tp t="s">
        <v>#N/A Requesting Data...783849830</v>
        <stp/>
        <stp>BDP|8682772321822050753</stp>
        <tr r="AK20" s="14"/>
      </tp>
      <tp t="s">
        <v>#N/A N/A</v>
        <stp/>
        <stp>BDP|7775836053460244207</stp>
        <tr r="R11" s="4"/>
      </tp>
      <tp t="s">
        <v>#N/A Requesting Data...965372677</v>
        <stp/>
        <stp>BDP|9046131042840235596</stp>
        <tr r="H47" s="16"/>
        <tr r="H47" s="16"/>
        <tr r="F49" s="14"/>
        <tr r="F49" s="14"/>
      </tp>
      <tp t="s">
        <v>#N/A Requesting Data...4167394514</v>
        <stp/>
        <stp>BDP|9350560378782256057</stp>
        <tr r="AN12" s="14"/>
      </tp>
      <tp t="s">
        <v>#N/A Requesting Data...1226146476</v>
        <stp/>
        <stp>BDP|5934348196151196705</stp>
        <tr r="AN108" s="14"/>
      </tp>
      <tp t="s">
        <v>#N/A Requesting Data...1215712001</v>
        <stp/>
        <stp>BDP|1547277535718983154</stp>
        <tr r="I109" s="14"/>
        <tr r="I109" s="14"/>
      </tp>
      <tp t="s">
        <v>#N/A Requesting Data...745703377</v>
        <stp/>
        <stp>BDP|8624134430420770398</stp>
        <tr r="AN100" s="14"/>
      </tp>
      <tp t="s">
        <v>#N/A Requesting Data...1979735531</v>
        <stp/>
        <stp>BDP|2490775503138390488</stp>
        <tr r="AU33" s="14"/>
      </tp>
      <tp t="s">
        <v>#N/A Requesting Data...2399679998</v>
        <stp/>
        <stp>BDP|9804033025447189543</stp>
        <tr r="AQ106" s="14"/>
      </tp>
      <tp t="s">
        <v>#N/A N/A</v>
        <stp/>
        <stp>BDP|2605808278901553505</stp>
        <tr r="T25" s="6"/>
      </tp>
      <tp t="s">
        <v>#N/A N/A</v>
        <stp/>
        <stp>BDP|5525737292415966767</stp>
        <tr r="U25" s="6"/>
      </tp>
      <tp t="s">
        <v>#N/A N/A</v>
        <stp/>
        <stp>BDP|3411485457642268921</stp>
        <tr r="Z14" s="4"/>
      </tp>
      <tp t="s">
        <v>#N/A Requesting Data...3562466992</v>
        <stp/>
        <stp>BDP|3950292468819520751</stp>
        <tr r="AM98" s="14"/>
      </tp>
      <tp t="s">
        <v>#N/A N/A</v>
        <stp/>
        <stp>BDP|9276764465879913806</stp>
        <tr r="Z18" s="1"/>
      </tp>
      <tp t="s">
        <v>#N/A N/A</v>
        <stp/>
        <stp>BDP|8930767468908830871</stp>
        <tr r="I104" s="16"/>
        <tr r="I107" s="16"/>
      </tp>
      <tp t="s">
        <v>#N/A Requesting Data...2488740915</v>
        <stp/>
        <stp>BDP|2969225702719796062</stp>
        <tr r="AH78" s="14"/>
      </tp>
      <tp t="s">
        <v>#N/A Requesting Data...1685497950</v>
        <stp/>
        <stp>BDP|2492990803391626308</stp>
        <tr r="G87" s="16"/>
      </tp>
      <tp t="s">
        <v>#N/A Requesting Data...2813785415</v>
        <stp/>
        <stp>BDP|5419685647936718848</stp>
        <tr r="AO88" s="14"/>
        <tr r="AO88" s="14"/>
      </tp>
      <tp t="s">
        <v>#N/A Requesting Data...624493548</v>
        <stp/>
        <stp>BDP|6343701986500845050</stp>
        <tr r="AP19" s="14"/>
      </tp>
      <tp t="s">
        <v>#N/A Requesting Data...1637349965</v>
        <stp/>
        <stp>BDP|7970716647409347459</stp>
        <tr r="I75" s="14"/>
      </tp>
      <tp t="s">
        <v>#N/A Requesting Data...1049179271</v>
        <stp/>
        <stp>BDP|5951670941816367853</stp>
        <tr r="AP56" s="14"/>
      </tp>
      <tp t="s">
        <v>#N/A Requesting Data...3932569663</v>
        <stp/>
        <stp>BDP|2356087947146542909</stp>
        <tr r="AH51" s="14"/>
      </tp>
      <tp t="s">
        <v>#N/A Requesting Data...4186594776</v>
        <stp/>
        <stp>BDP|1274841256657132282</stp>
        <tr r="G14" s="14"/>
      </tp>
      <tp t="s">
        <v>#N/A Requesting Data...2614703089</v>
        <stp/>
        <stp>BDP|4188781682966526474</stp>
        <tr r="K20" s="1"/>
      </tp>
      <tp t="s">
        <v>#N/A N/A</v>
        <stp/>
        <stp>BDP|4850146208324822829</stp>
        <tr r="Z12" s="1"/>
      </tp>
      <tp t="s">
        <v>#N/A Requesting Data...2341870735</v>
        <stp/>
        <stp>BDP|5890877004312652637</stp>
        <tr r="AB60" s="14"/>
        <tr r="AB60" s="14"/>
      </tp>
      <tp t="s">
        <v>#N/A Requesting Data...2091264009</v>
        <stp/>
        <stp>BDP|9826669900594549255</stp>
        <tr r="AR83" s="14"/>
      </tp>
      <tp t="s">
        <v>#N/A Requesting Data...3505649611</v>
        <stp/>
        <stp>BDP|1675535766533815858</stp>
        <tr r="AF85" s="14"/>
      </tp>
      <tp t="s">
        <v>#N/A Requesting Data...3876575212</v>
        <stp/>
        <stp>BDP|7472644043418946440</stp>
        <tr r="C26" s="16"/>
        <tr r="D28" s="14"/>
      </tp>
      <tp t="s">
        <v>#N/A Requesting Data...3499230772</v>
        <stp/>
        <stp>BDP|8653683546611074262</stp>
        <tr r="AB52" s="14"/>
        <tr r="AB52" s="14"/>
      </tp>
      <tp t="s">
        <v>#N/A Requesting Data...1556025616</v>
        <stp/>
        <stp>BDP|4928698190464656693</stp>
        <tr r="V88" s="14"/>
      </tp>
      <tp t="s">
        <v>#N/A Requesting Data...2089046026</v>
        <stp/>
        <stp>BDP|8314331736019887812</stp>
        <tr r="AF19" s="14"/>
      </tp>
      <tp t="s">
        <v>#N/A N/A</v>
        <stp/>
        <stp>BDP|7213490582075528730</stp>
        <tr r="V105" s="14"/>
      </tp>
      <tp t="s">
        <v>#N/A Requesting Data...2743494521</v>
        <stp/>
        <stp>BDP|8482583606884778023</stp>
        <tr r="F17" s="12"/>
      </tp>
      <tp t="s">
        <v>#N/A Requesting Data...3593728505</v>
        <stp/>
        <stp>BDP|7602693911341198831</stp>
        <tr r="AP25" s="14"/>
      </tp>
      <tp t="s">
        <v>#N/A N/A</v>
        <stp/>
        <stp>BDP|4461045044008864109</stp>
        <tr r="T19" s="14"/>
        <tr r="T19" s="14"/>
      </tp>
      <tp t="s">
        <v>#N/A Requesting Data...1548690511</v>
        <stp/>
        <stp>BDP|4439077493923911752</stp>
        <tr r="AB11" s="14"/>
        <tr r="AB11" s="14"/>
      </tp>
      <tp t="s">
        <v>#N/A Requesting Data...1223098633</v>
        <stp/>
        <stp>BDP|5865967097778577403</stp>
        <tr r="AF47" s="14"/>
      </tp>
      <tp t="s">
        <v>#N/A Requesting Data...1397651169</v>
        <stp/>
        <stp>BDP|6579732639558710345</stp>
        <tr r="F75" s="16"/>
      </tp>
      <tp t="s">
        <v>#N/A Requesting Data...3970259578</v>
        <stp/>
        <stp>BDP|2621385245575031977</stp>
        <tr r="AM44" s="14"/>
      </tp>
      <tp t="s">
        <v>#N/A Requesting Data...1987116414</v>
        <stp/>
        <stp>BDP|9842054782450088825</stp>
        <tr r="D103" s="12"/>
      </tp>
      <tp t="s">
        <v>#N/A N/A</v>
        <stp/>
        <stp>BDP|7025119549652466913</stp>
        <tr r="R15" s="1"/>
      </tp>
      <tp t="s">
        <v>#N/A N/A</v>
        <stp/>
        <stp>BDP|8946667530204489065</stp>
        <tr r="L58" s="16"/>
        <tr r="L59" s="16"/>
        <tr r="L24" s="16"/>
        <tr r="L67" s="16"/>
        <tr r="L25" s="16"/>
      </tp>
      <tp t="s">
        <v>#N/A Requesting Data...4011588286</v>
        <stp/>
        <stp>BDP|9346952505990605981</stp>
        <tr r="C87" s="12"/>
      </tp>
      <tp t="s">
        <v>#N/A Requesting Data...4230518402</v>
        <stp/>
        <stp>BDP|2359724581904807059</stp>
        <tr r="H85" s="16"/>
        <tr r="F87" s="14"/>
      </tp>
      <tp t="s">
        <v>#N/A N/A</v>
        <stp/>
        <stp>BDP|6145186043109520321</stp>
        <tr r="N20" s="7"/>
      </tp>
      <tp t="s">
        <v>#N/A Requesting Data...1921159284</v>
        <stp/>
        <stp>BDP|3501301861768962706</stp>
        <tr r="AP97" s="14"/>
      </tp>
      <tp t="s">
        <v>#N/A N/A</v>
        <stp/>
        <stp>BDP|1056924395981298979</stp>
        <tr r="V21" s="6"/>
      </tp>
      <tp t="s">
        <v>#N/A Requesting Data...2183960081</v>
        <stp/>
        <stp>BDP|8474128761971683733</stp>
        <tr r="F82" s="16"/>
      </tp>
      <tp t="s">
        <v>#N/A N/A</v>
        <stp/>
        <stp>BDP|4127369692472780509</stp>
        <tr r="AH77" s="14"/>
        <tr r="AH77" s="14"/>
      </tp>
      <tp t="s">
        <v>#N/A N/A</v>
        <stp/>
        <stp>BDP|9781570254634400420</stp>
        <tr r="S25" s="7"/>
      </tp>
      <tp t="s">
        <v>#N/A Requesting Data...4125218431</v>
        <stp/>
        <stp>BDP|7089100743982577945</stp>
        <tr r="D79" s="16"/>
        <tr r="E81" s="14"/>
      </tp>
      <tp t="s">
        <v>#N/A N/A</v>
        <stp/>
        <stp>BDP|9301149375195987393</stp>
        <tr r="T101" s="14"/>
      </tp>
      <tp t="s">
        <v>#N/A N/A</v>
        <stp/>
        <stp>BDP|2211511380027820190</stp>
        <tr r="N24" s="6"/>
      </tp>
      <tp t="s">
        <v>#N/A Requesting Data...4177955237</v>
        <stp/>
        <stp>BDP|5636895800506501281</stp>
        <tr r="H97" s="14"/>
      </tp>
      <tp t="s">
        <v>#N/A N/A</v>
        <stp/>
        <stp>BDP|5899195505994111971</stp>
        <tr r="F22" s="7"/>
      </tp>
      <tp t="s">
        <v>#N/A Requesting Data...1358650078</v>
        <stp/>
        <stp>BDP|4639619813912221845</stp>
        <tr r="D114" s="12"/>
      </tp>
      <tp t="s">
        <v>#N/A N/A</v>
        <stp/>
        <stp>BDP|8185301787118608230</stp>
        <tr r="F11" s="6"/>
      </tp>
      <tp t="s">
        <v>#N/A Requesting Data...2124451528</v>
        <stp/>
        <stp>BDP|7762127968141780892</stp>
        <tr r="E94" s="14"/>
        <tr r="D92" s="16"/>
      </tp>
      <tp t="s">
        <v>#N/A Requesting Data...2578158497</v>
        <stp/>
        <stp>BDP|3848683130486153929</stp>
        <tr r="G49" s="16"/>
      </tp>
      <tp t="s">
        <v>#N/A Requesting Data...3973080585</v>
        <stp/>
        <stp>BDP|9804961155088984416</stp>
        <tr r="D82" s="12"/>
      </tp>
      <tp t="s">
        <v>#N/A Requesting Data...2498402350</v>
        <stp/>
        <stp>BDP|4615659434818496009</stp>
        <tr r="AD52" s="14"/>
      </tp>
      <tp t="s">
        <v>#N/A Requesting Data...2302393276</v>
        <stp/>
        <stp>BDP|6317898869120133118</stp>
        <tr r="H51" s="14"/>
      </tp>
      <tp t="s">
        <v>#N/A Requesting Data...1253647219</v>
        <stp/>
        <stp>BDP|5333137093416343230</stp>
        <tr r="AK66" s="14"/>
      </tp>
      <tp t="s">
        <v>#N/A Requesting Data...752791552</v>
        <stp/>
        <stp>BDP|6007764685478307834</stp>
        <tr r="C28" s="14"/>
      </tp>
      <tp t="s">
        <v>#N/A N/A</v>
        <stp/>
        <stp>BDP|5611726656648871691</stp>
        <tr r="X13" s="4"/>
      </tp>
      <tp t="s">
        <v>#N/A Requesting Data...1204621300</v>
        <stp/>
        <stp>BDP|9641992992621922175</stp>
        <tr r="AT50" s="14"/>
      </tp>
      <tp t="s">
        <v>#N/A N/A</v>
        <stp/>
        <stp>BDP|8603444793829293538</stp>
        <tr r="K56" s="16"/>
      </tp>
      <tp t="s">
        <v>#N/A N/A</v>
        <stp/>
        <stp>BDP|1093043500239543110</stp>
        <tr r="I18" s="7"/>
      </tp>
      <tp t="s">
        <v>#N/A Requesting Data...3422175076</v>
        <stp/>
        <stp>BDP|5816799851246933895</stp>
        <tr r="K73" s="14"/>
      </tp>
      <tp t="s">
        <v>#N/A N/A</v>
        <stp/>
        <stp>BDP|7628606383900436010</stp>
        <tr r="T40" s="14"/>
      </tp>
      <tp t="s">
        <v>#N/A N/A</v>
        <stp/>
        <stp>BDP|2829987861133817796</stp>
        <tr r="AA107" s="14"/>
      </tp>
      <tp t="s">
        <v>#N/A Requesting Data...1597308358</v>
        <stp/>
        <stp>BDP|1868460236198137796</stp>
        <tr r="AP13" s="14"/>
      </tp>
      <tp t="s">
        <v>#N/A Requesting Data...2425897683</v>
        <stp/>
        <stp>BDP|6483987304365899301</stp>
        <tr r="AP24" s="14"/>
      </tp>
      <tp t="s">
        <v>#N/A N/A</v>
        <stp/>
        <stp>BDH|5867391059022033889</stp>
        <tr r="AE79" s="14"/>
      </tp>
      <tp t="s">
        <v>#N/A Requesting Data...2269304777</v>
        <stp/>
        <stp>BDP|8042941691612416309</stp>
        <tr r="I95" s="14"/>
        <tr r="I95" s="14"/>
      </tp>
      <tp t="s">
        <v>#N/A N/A</v>
        <stp/>
        <stp>BDP|8607385471475880064</stp>
        <tr r="D16" s="7"/>
      </tp>
      <tp t="s">
        <v>#N/A N/A</v>
        <stp/>
        <stp>BDP|8000406814707743328</stp>
        <tr r="K106" s="16"/>
      </tp>
      <tp t="s">
        <v>#N/A Requesting Data...2366760615</v>
        <stp/>
        <stp>BDP|8675483408905024070</stp>
        <tr r="D68" s="12"/>
      </tp>
      <tp t="s">
        <v>#N/A Requesting Data...4214573487</v>
        <stp/>
        <stp>BDP|2435754276242771914</stp>
        <tr r="H59" s="16"/>
        <tr r="H59" s="16"/>
        <tr r="F61" s="14"/>
        <tr r="F61" s="14"/>
      </tp>
      <tp t="s">
        <v>#N/A Requesting Data...1525530724</v>
        <stp/>
        <stp>BDP|1790241895403839082</stp>
        <tr r="E48" s="16"/>
      </tp>
      <tp t="s">
        <v>#N/A N/A</v>
        <stp/>
        <stp>BDP|2681315467657001967</stp>
        <tr r="U14" s="7"/>
      </tp>
      <tp t="s">
        <v>#N/A Requesting Data...3688920452</v>
        <stp/>
        <stp>BDP|6867292209434993976</stp>
        <tr r="AB24" s="14"/>
        <tr r="AB24" s="14"/>
      </tp>
      <tp t="s">
        <v>#N/A Requesting Data...3977637335</v>
        <stp/>
        <stp>BDP|1903853279737002034</stp>
        <tr r="K70" s="14"/>
      </tp>
      <tp t="s">
        <v>#N/A Requesting Data...845152032</v>
        <stp/>
        <stp>BDP|9714382288793014813</stp>
        <tr r="G96" s="14"/>
      </tp>
      <tp t="s">
        <v>#N/A Requesting Data...1150679453</v>
        <stp/>
        <stp>BDP|4270730438640689981</stp>
        <tr r="AF67" s="14"/>
      </tp>
      <tp t="s">
        <v>#N/A Requesting Data...2056083983</v>
        <stp/>
        <stp>BDP|9063461924257677139</stp>
        <tr r="AT15" s="14"/>
      </tp>
      <tp t="s">
        <v>#N/A Requesting Data...3443392844</v>
        <stp/>
        <stp>BDP|9402188549141206408</stp>
        <tr r="H37" s="14"/>
      </tp>
      <tp t="s">
        <v>#N/A Requesting Data...3434297998</v>
        <stp/>
        <stp>BDP|9931835396080367182</stp>
        <tr r="G83" s="14"/>
      </tp>
      <tp t="s">
        <v>#N/A N/A</v>
        <stp/>
        <stp>BDP|7446756993920375069</stp>
        <tr r="T95" s="14"/>
        <tr r="T95" s="14"/>
      </tp>
      <tp t="s">
        <v>#N/A N/A</v>
        <stp/>
        <stp>BDP|7265568499414884626</stp>
        <tr r="Z11" s="5"/>
      </tp>
      <tp t="s">
        <v>#N/A Requesting Data...1057616509</v>
        <stp/>
        <stp>BDP|6013976960860774044</stp>
        <tr r="AR16" s="14"/>
      </tp>
      <tp t="s">
        <v>#N/A N/A</v>
        <stp/>
        <stp>BDP|3953401969810734830</stp>
        <tr r="L30" s="16"/>
      </tp>
      <tp t="s">
        <v>#N/A Requesting Data...3861338833</v>
        <stp/>
        <stp>BDP|7375221205028030400</stp>
        <tr r="E78" s="16"/>
      </tp>
      <tp t="s">
        <v>#N/A Requesting Data...4191569379</v>
        <stp/>
        <stp>BDP|7658048680660562638</stp>
        <tr r="AP37" s="14"/>
      </tp>
      <tp t="s">
        <v>#N/A Requesting Data...2158945690</v>
        <stp/>
        <stp>BDP|7646824097559682619</stp>
        <tr r="AO30" s="14"/>
        <tr r="AO30" s="14"/>
      </tp>
      <tp t="s">
        <v>#N/A Requesting Data...2360002735</v>
        <stp/>
        <stp>BDP|5897263521979266592</stp>
        <tr r="AK85" s="14"/>
      </tp>
      <tp t="s">
        <v>#N/A N/A</v>
        <stp/>
        <stp>BDP|4680941312196370379</stp>
        <tr r="K34" s="16"/>
      </tp>
      <tp t="s">
        <v>#N/A Requesting Data...2996606413</v>
        <stp/>
        <stp>BDP|9734515378275242798</stp>
        <tr r="AE28" s="14"/>
      </tp>
      <tp t="s">
        <v>#N/A Requesting Data...2442289148</v>
        <stp/>
        <stp>BDP|7385276641138967092</stp>
        <tr r="AM45" s="14"/>
      </tp>
      <tp t="s">
        <v>#N/A N/A</v>
        <stp/>
        <stp>BDP|7530876768406942668</stp>
        <tr r="AH103" s="14"/>
        <tr r="AH103" s="14"/>
      </tp>
      <tp t="s">
        <v>#N/A Requesting Data...959115803</v>
        <stp/>
        <stp>BDP|5005231927884626876</stp>
        <tr r="AM97" s="14"/>
      </tp>
      <tp t="s">
        <v>#N/A Requesting Data...1830405845</v>
        <stp/>
        <stp>BDP|3348813376351121408</stp>
        <tr r="C60" s="16"/>
        <tr r="D62" s="14"/>
      </tp>
      <tp t="s">
        <v>#N/A N/A</v>
        <stp/>
        <stp>BDP|2503797393042963731</stp>
        <tr r="T34" s="14"/>
        <tr r="T34" s="14"/>
      </tp>
      <tp t="s">
        <v>#N/A Requesting Data...1974672447</v>
        <stp/>
        <stp>BDP|8712978837963214802</stp>
        <tr r="AS61" s="14"/>
      </tp>
      <tp t="s">
        <v>#N/A Requesting Data...4053231443</v>
        <stp/>
        <stp>BDP|6593591511382005988</stp>
        <tr r="AH56" s="14"/>
      </tp>
      <tp t="s">
        <v>#N/A Requesting Data...2221521851</v>
        <stp/>
        <stp>BDP|2827640917335749997</stp>
        <tr r="F14" s="16"/>
      </tp>
      <tp t="s">
        <v>#N/A Requesting Data...3464556581</v>
        <stp/>
        <stp>BDP|6187849376011279141</stp>
        <tr r="H68" s="14"/>
      </tp>
      <tp t="s">
        <v>#N/A N/A</v>
        <stp/>
        <stp>BDH|36383255094053670</stp>
        <tr r="AE75" s="14"/>
      </tp>
      <tp t="s">
        <v>#N/A N/A</v>
        <stp/>
        <stp>BCOUNTPERIODS|11768374972198071214</stp>
        <tr r="AI11" s="5"/>
        <tr r="AI12" s="5"/>
        <tr r="AI13" s="5"/>
      </tp>
      <tp t="s">
        <v>#N/A N/A</v>
        <stp/>
        <stp>BDP|2702389275295001902</stp>
        <tr r="G19" s="6"/>
      </tp>
      <tp t="s">
        <v>#N/A N/A</v>
        <stp/>
        <stp>BDP|3410728039399731421</stp>
        <tr r="P21" s="6"/>
      </tp>
      <tp t="s">
        <v>#N/A N/A</v>
        <stp/>
        <stp>BDP|3475069235293416996</stp>
        <tr r="Y15" s="4"/>
      </tp>
      <tp t="s">
        <v>#N/A N/A</v>
        <stp/>
        <stp>BDP|8971689122025104384</stp>
        <tr r="L35" s="16"/>
      </tp>
      <tp t="s">
        <v>#N/A Requesting Data...2221595059</v>
        <stp/>
        <stp>BDP|2757364272169198588</stp>
        <tr r="AU107" s="14"/>
      </tp>
      <tp t="s">
        <v>#N/A Requesting Data...424721516</v>
        <stp/>
        <stp>BDP|8511354567674814355</stp>
        <tr r="AB100" s="14"/>
        <tr r="AB100" s="14"/>
      </tp>
      <tp t="s">
        <v>#N/A Requesting Data...706865088</v>
        <stp/>
        <stp>BDP|7305923451499864827</stp>
        <tr r="AK14" s="14"/>
      </tp>
      <tp t="s">
        <v>#N/A N/A</v>
        <stp/>
        <stp>BDH|1653022988252279144</stp>
        <tr r="W24" s="7"/>
      </tp>
      <tp t="s">
        <v>#N/A Requesting Data...3534612816</v>
        <stp/>
        <stp>BDP|2789958029470312339</stp>
        <tr r="D21" s="16"/>
        <tr r="E23" s="14"/>
      </tp>
      <tp t="s">
        <v>#N/A Requesting Data...2614357121</v>
        <stp/>
        <stp>BDP|2914261101733280971</stp>
        <tr r="G17" s="16"/>
      </tp>
      <tp t="s">
        <v>#N/A N/A</v>
        <stp/>
        <stp>BDP|5104986360162799250</stp>
        <tr r="AH33" s="14"/>
        <tr r="AH33" s="14"/>
      </tp>
      <tp t="s">
        <v>#N/A Requesting Data...2285247297</v>
        <stp/>
        <stp>BDP|4853443046929081714</stp>
        <tr r="F15" s="1"/>
      </tp>
      <tp t="s">
        <v>#N/A Requesting Data...3744547070</v>
        <stp/>
        <stp>BDP|7077660985471998219</stp>
        <tr r="AT11" s="14"/>
      </tp>
      <tp t="s">
        <v>#N/A Requesting Data...1593563649</v>
        <stp/>
        <stp>BDP|5920782406339484189</stp>
        <tr r="E65" s="16"/>
      </tp>
      <tp t="s">
        <v>#N/A N/A</v>
        <stp/>
        <stp>BDP|8020560419693041545</stp>
        <tr r="D23" s="7"/>
      </tp>
      <tp t="s">
        <v>#N/A N/A</v>
        <stp/>
        <stp>BDH|5280294927136602919</stp>
        <tr r="W12" s="7"/>
      </tp>
      <tp t="s">
        <v>#N/A N/A</v>
        <stp/>
        <stp>BDH|8572781190604108876</stp>
        <tr r="X19" s="7"/>
      </tp>
      <tp t="s">
        <v>#N/A N/A</v>
        <stp/>
        <stp>BDH|1640922821904870466</stp>
        <tr r="AI65" s="14"/>
      </tp>
      <tp t="s">
        <v>#N/A Requesting Data...3385151239</v>
        <stp/>
        <stp>BDP|4646366792860223480</stp>
        <tr r="K13" s="14"/>
      </tp>
      <tp t="s">
        <v>#N/A Requesting Data...918077278</v>
        <stp/>
        <stp>BDP|2350949503848593996</stp>
        <tr r="V56" s="14"/>
      </tp>
      <tp t="s">
        <v>#N/A Requesting Data...1762789215</v>
        <stp/>
        <stp>BDP|8030594386648570729</stp>
        <tr r="E68" s="16"/>
      </tp>
      <tp t="s">
        <v>#N/A Requesting Data...1001057628</v>
        <stp/>
        <stp>BDP|7202852505956236386</stp>
        <tr r="AQ19" s="14"/>
      </tp>
      <tp t="s">
        <v>#N/A Requesting Data...849169212</v>
        <stp/>
        <stp>BDP|9067316477182900572</stp>
        <tr r="AO34" s="14"/>
        <tr r="AO34" s="14"/>
      </tp>
      <tp t="s">
        <v>#N/A N/A</v>
        <stp/>
        <stp>BDP|6454733370959635599</stp>
        <tr r="U17" s="6"/>
      </tp>
      <tp t="s">
        <v>#N/A Requesting Data...2007225071</v>
        <stp/>
        <stp>BDP|9243599776213554215</stp>
        <tr r="AF39" s="14"/>
      </tp>
      <tp t="s">
        <v>#N/A Requesting Data...514624055</v>
        <stp/>
        <stp>BDP|5929282692617999331</stp>
        <tr r="AD63" s="14"/>
      </tp>
      <tp t="s">
        <v>#N/A Requesting Data...3187953793</v>
        <stp/>
        <stp>BDP|8336684933842188502</stp>
        <tr r="AQ15" s="14"/>
      </tp>
      <tp t="s">
        <v>#N/A Requesting Data...1133196236</v>
        <stp/>
        <stp>BDP|5513583437309508066</stp>
        <tr r="AR14" s="14"/>
      </tp>
      <tp t="s">
        <v>#N/A N/A</v>
        <stp/>
        <stp>BDH|5964019116637445938</stp>
        <tr r="Y13" s="6"/>
      </tp>
      <tp t="s">
        <v>#N/A Requesting Data...2619644131</v>
        <stp/>
        <stp>BDP|9781301561224022282</stp>
        <tr r="I88" s="14"/>
        <tr r="I88" s="14"/>
      </tp>
      <tp t="s">
        <v>#N/A Requesting Data...3786330186</v>
        <stp/>
        <stp>BDP|3244678716396851850</stp>
        <tr r="AM42" s="14"/>
      </tp>
      <tp t="s">
        <v>#N/A N/A</v>
        <stp/>
        <stp>BDS|8338875677188595583</stp>
        <tr r="AI59" s="14"/>
        <tr r="AI59" s="14"/>
        <tr r="AI64" s="14"/>
        <tr r="AI64" s="14"/>
      </tp>
      <tp t="s">
        <v>#N/A Requesting Data...3065073997</v>
        <stp/>
        <stp>BDP|7530969354112957308</stp>
        <tr r="AD16" s="14"/>
      </tp>
      <tp t="s">
        <v>#N/A N/A</v>
        <stp/>
        <stp>BDP|6389881756012302313</stp>
        <tr r="S18" s="7"/>
      </tp>
      <tp t="s">
        <v>#N/A Requesting Data...1368935024</v>
        <stp/>
        <stp>BDP|9718711704507815359</stp>
        <tr r="AS39" s="14"/>
      </tp>
      <tp t="s">
        <v>#N/A Requesting Data...1704916709</v>
        <stp/>
        <stp>BDP|8579588846991197253</stp>
        <tr r="AB107" s="14"/>
        <tr r="AB107" s="14"/>
      </tp>
      <tp t="s">
        <v>#N/A Requesting Data...2652446902</v>
        <stp/>
        <stp>BDP|4868873358725986614</stp>
        <tr r="E34" s="14"/>
        <tr r="D32" s="16"/>
      </tp>
      <tp t="s">
        <v>#N/A Requesting Data...3910914028</v>
        <stp/>
        <stp>BDP|9593494483407932899</stp>
        <tr r="AT55" s="14"/>
      </tp>
      <tp t="s">
        <v>#N/A Requesting Data...2035552035</v>
        <stp/>
        <stp>BDP|2633140192405927561</stp>
        <tr r="AM36" s="14"/>
      </tp>
      <tp t="s">
        <v>#N/A Requesting Data...4072356942</v>
        <stp/>
        <stp>BDP|3730668019346386878</stp>
        <tr r="C109" s="14"/>
      </tp>
      <tp t="s">
        <v>#N/A N/A</v>
        <stp/>
        <stp>BDP|7065624439930143863</stp>
        <tr r="L19" s="16"/>
        <tr r="L77" s="16"/>
      </tp>
      <tp t="s">
        <v>#N/A N/A</v>
        <stp/>
        <stp>BDP|9438977193482589197</stp>
        <tr r="T89" s="14"/>
        <tr r="T89" s="14"/>
      </tp>
      <tp t="s">
        <v>#N/A Requesting Data...2417526226</v>
        <stp/>
        <stp>BDP|9291510979393626208</stp>
        <tr r="F11" s="1"/>
      </tp>
      <tp t="s">
        <v>#N/A Requesting Data...2882876594</v>
        <stp/>
        <stp>BDP|8656912522080017996</stp>
        <tr r="E87" s="16"/>
      </tp>
      <tp t="s">
        <v>#N/A Requesting Data...713512183</v>
        <stp/>
        <stp>BDP|7664551318008004171</stp>
        <tr r="AU85" s="14"/>
      </tp>
      <tp t="s">
        <v>#N/A N/A</v>
        <stp/>
        <stp>BDH|4705813939727349207</stp>
        <tr r="AI87" s="14"/>
      </tp>
      <tp t="s">
        <v>#N/A N/A</v>
        <stp/>
        <stp>BDH|7965357723154351809</stp>
        <tr r="AI92" s="14"/>
      </tp>
      <tp t="s">
        <v>#N/A N/A</v>
        <stp/>
        <stp>BDP|6864022315465307818</stp>
        <tr r="Z16" s="1"/>
      </tp>
      <tp t="s">
        <v>#N/A Requesting Data...4229362509</v>
        <stp/>
        <stp>BDP|8276947789943474065</stp>
        <tr r="AT108" s="14"/>
      </tp>
      <tp t="s">
        <v>#N/A N/A</v>
        <stp/>
        <stp>BDP|3226229349267523814</stp>
        <tr r="E17" s="6"/>
      </tp>
      <tp t="s">
        <v>#N/A Requesting Data...2482583806</v>
        <stp/>
        <stp>BDP|8957629665493227115</stp>
        <tr r="G30" s="16"/>
      </tp>
      <tp t="s">
        <v>#N/A Requesting Data...3014347418</v>
        <stp/>
        <stp>BDP|9035444021547912211</stp>
        <tr r="AQ83" s="14"/>
      </tp>
      <tp t="s">
        <v>#N/A Requesting Data...1640212126</v>
        <stp/>
        <stp>BDP|5218294917285117904</stp>
        <tr r="E83" s="16"/>
      </tp>
      <tp t="s">
        <v>#N/A N/A</v>
        <stp/>
        <stp>BDP|5362861170513829302</stp>
        <tr r="J17" s="1"/>
      </tp>
      <tp t="s">
        <v>#N/A Requesting Data...3047820115</v>
        <stp/>
        <stp>BDP|4308374134228808651</stp>
        <tr r="C110" s="12"/>
      </tp>
      <tp t="s">
        <v>#N/A Requesting Data...3066765696</v>
        <stp/>
        <stp>BDP|1783985755056148190</stp>
        <tr r="AF97" s="14"/>
      </tp>
      <tp t="s">
        <v>#N/A Requesting Data...1919314395</v>
        <stp/>
        <stp>BDP|6978611599462799144</stp>
        <tr r="AM83" s="14"/>
      </tp>
      <tp t="s">
        <v>#N/A Requesting Data...4038111347</v>
        <stp/>
        <stp>BDP|4276020363341299932</stp>
        <tr r="G81" s="16"/>
      </tp>
      <tp t="s">
        <v>#N/A Requesting Data...2396810156</v>
        <stp/>
        <stp>BDP|3974649883004435382</stp>
        <tr r="AT26" s="14"/>
      </tp>
      <tp t="s">
        <v>#N/A Requesting Data...2630591156</v>
        <stp/>
        <stp>BDP|3885083894835158577</stp>
        <tr r="AH19" s="14"/>
      </tp>
      <tp t="s">
        <v>#N/A Requesting Data...2619141891</v>
        <stp/>
        <stp>BDP|4517880338841789402</stp>
        <tr r="AO47" s="14"/>
        <tr r="AO47" s="14"/>
      </tp>
      <tp t="s">
        <v>#N/A Requesting Data...2632649168</v>
        <stp/>
        <stp>BDP|3222490848439467055</stp>
        <tr r="G51" s="14"/>
      </tp>
      <tp t="s">
        <v>#N/A N/A</v>
        <stp/>
        <stp>BDP|3461916045345070120</stp>
        <tr r="S24" s="7"/>
      </tp>
      <tp t="s">
        <v>#N/A Requesting Data...3176124675</v>
        <stp/>
        <stp>BDP|8225838181680069231</stp>
        <tr r="AU39" s="14"/>
      </tp>
      <tp t="s">
        <v>#N/A Requesting Data...2688156706</v>
        <stp/>
        <stp>BDP|5432751602659802188</stp>
        <tr r="E55" s="16"/>
      </tp>
      <tp t="s">
        <v>#N/A Requesting Data...4130251350</v>
        <stp/>
        <stp>BDP|7578528730149398278</stp>
        <tr r="AN65" s="14"/>
      </tp>
      <tp t="s">
        <v>#N/A Requesting Data...1969394064</v>
        <stp/>
        <stp>BDP|3598656916196007851</stp>
        <tr r="AS102" s="14"/>
      </tp>
      <tp t="s">
        <v>#N/A Requesting Data...880629973</v>
        <stp/>
        <stp>BDP|6100743295682529069</stp>
        <tr r="K11" s="1"/>
      </tp>
      <tp t="s">
        <v>#N/A Requesting Data...2190880798</v>
        <stp/>
        <stp>BDP|7052895614835848162</stp>
        <tr r="AH72" s="14"/>
      </tp>
      <tp t="s">
        <v>#N/A Requesting Data...1005192304</v>
        <stp/>
        <stp>BDP|2362224144189022760</stp>
        <tr r="AL31" s="14"/>
      </tp>
      <tp t="s">
        <v>#N/A Requesting Data...2155758810</v>
        <stp/>
        <stp>BDP|7153470976678657656</stp>
        <tr r="K100" s="14"/>
      </tp>
      <tp t="s">
        <v>#N/A Requesting Data...3791429866</v>
        <stp/>
        <stp>BDP|9071580868414317401</stp>
        <tr r="G65" s="14"/>
      </tp>
      <tp t="s">
        <v>#N/A Requesting Data...3644881487</v>
        <stp/>
        <stp>BDP|5605121915119554670</stp>
        <tr r="K72" s="14"/>
      </tp>
      <tp t="s">
        <v>#N/A Requesting Data...2235204267</v>
        <stp/>
        <stp>BDP|5236546590554754722</stp>
        <tr r="AF62" s="14"/>
      </tp>
      <tp t="s">
        <v>#N/A Requesting Data...1329993700</v>
        <stp/>
        <stp>BDP|8713742006075725017</stp>
        <tr r="AQ58" s="14"/>
      </tp>
      <tp t="s">
        <v>#N/A N/A</v>
        <stp/>
        <stp>BDP|8127252037386831586</stp>
        <tr r="K18" s="16"/>
      </tp>
      <tp t="s">
        <v>#N/A N/A</v>
        <stp/>
        <stp>BDP|2623188009690579922</stp>
        <tr r="AK14" s="1"/>
      </tp>
      <tp t="s">
        <v>#N/A N/A</v>
        <stp/>
        <stp>BDP|8021119822451308004</stp>
        <tr r="S15" s="4"/>
      </tp>
      <tp t="s">
        <v>#N/A Requesting Data...927513250</v>
        <stp/>
        <stp>BDP|5948120699106660148</stp>
        <tr r="D46" s="14"/>
        <tr r="C44" s="16"/>
      </tp>
      <tp t="s">
        <v>#N/A Requesting Data...2595177747</v>
        <stp/>
        <stp>BDP|9844823378229175538</stp>
        <tr r="AE109" s="14"/>
      </tp>
      <tp t="s">
        <v>#N/A Requesting Data...3599488276</v>
        <stp/>
        <stp>BDP|5747255791871107524</stp>
        <tr r="AE45" s="14"/>
      </tp>
      <tp t="s">
        <v>#N/A Requesting Data...3247331003</v>
        <stp/>
        <stp>BDP|4800438203128042280</stp>
        <tr r="H88" s="14"/>
      </tp>
      <tp t="s">
        <v>#N/A Requesting Data...651462897</v>
        <stp/>
        <stp>BDP|8540264474966221155</stp>
        <tr r="AE18" s="14"/>
      </tp>
      <tp t="s">
        <v>#N/A N/A</v>
        <stp/>
        <stp>BDP|1497470857789789336</stp>
        <tr r="E23" s="1"/>
      </tp>
      <tp t="s">
        <v>#N/A N/A</v>
        <stp/>
        <stp>BDP|7167321271678367115</stp>
        <tr r="J18" s="14"/>
        <tr r="J18" s="14"/>
      </tp>
      <tp t="s">
        <v>#N/A N/A</v>
        <stp/>
        <stp>BDP|5232557990281473235</stp>
        <tr r="P13" s="6"/>
      </tp>
      <tp t="s">
        <v>#N/A Requesting Data...4182792689</v>
        <stp/>
        <stp>BDP|6421310099546516090</stp>
        <tr r="AB87" s="14"/>
        <tr r="AB87" s="14"/>
      </tp>
      <tp t="s">
        <v>#N/A Requesting Data...1591429068</v>
        <stp/>
        <stp>BDP|6538245083614284210</stp>
        <tr r="C44" s="14"/>
      </tp>
      <tp t="s">
        <v>#N/A Requesting Data...797796714</v>
        <stp/>
        <stp>BDP|3831976748264427028</stp>
        <tr r="AB71" s="14"/>
        <tr r="AB71" s="14"/>
      </tp>
      <tp t="s">
        <v>#N/A N/A</v>
        <stp/>
        <stp>BDP|7482066094725154163</stp>
        <tr r="S15" s="7"/>
      </tp>
      <tp t="s">
        <v>#N/A Requesting Data...2574458282</v>
        <stp/>
        <stp>BDP|4243774755099171509</stp>
        <tr r="D73" s="12"/>
      </tp>
      <tp t="s">
        <v>#N/A Requesting Data...3516334190</v>
        <stp/>
        <stp>BDP|3956646966838806125</stp>
        <tr r="AB19" s="14"/>
        <tr r="AB19" s="14"/>
      </tp>
      <tp t="s">
        <v>#N/A Requesting Data...648285303</v>
        <stp/>
        <stp>BDP|1749845645703620414</stp>
        <tr r="H92" s="16"/>
        <tr r="H92" s="16"/>
        <tr r="F94" s="14"/>
        <tr r="F94" s="14"/>
      </tp>
      <tp t="s">
        <v>#N/A N/A</v>
        <stp/>
        <stp>BDP|9512943498126002581</stp>
        <tr r="T30" s="14"/>
        <tr r="T30" s="14"/>
      </tp>
      <tp t="s">
        <v>#N/A Requesting Data...912245218</v>
        <stp/>
        <stp>BDP|6758473380645405529</stp>
        <tr r="AP42" s="14"/>
      </tp>
      <tp t="s">
        <v>#N/A Requesting Data...3169803087</v>
        <stp/>
        <stp>BDP|2136106036802819891</stp>
        <tr r="H85" s="14"/>
      </tp>
      <tp t="s">
        <v>#N/A Requesting Data...2238599665</v>
        <stp/>
        <stp>BDP|4722128971409036122</stp>
        <tr r="AK93" s="14"/>
      </tp>
      <tp t="s">
        <v>#N/A Requesting Data...3252668328</v>
        <stp/>
        <stp>BDP|7099064370712441840</stp>
        <tr r="D44" s="16"/>
        <tr r="E46" s="14"/>
      </tp>
      <tp t="s">
        <v>#N/A N/A</v>
        <stp/>
        <stp>BDP|3619471086300674575</stp>
        <tr r="T96" s="14"/>
        <tr r="T96" s="14"/>
      </tp>
      <tp t="s">
        <v>#N/A Requesting Data...3525849522</v>
        <stp/>
        <stp>BDP|4200550845158143756</stp>
        <tr r="AO57" s="14"/>
        <tr r="AO57" s="14"/>
      </tp>
      <tp t="s">
        <v>#N/A Requesting Data...1995522947</v>
        <stp/>
        <stp>BDP|7420422494920085046</stp>
        <tr r="F46" s="16"/>
      </tp>
      <tp t="s">
        <v>#N/A N/A</v>
        <stp/>
        <stp>BDH|2282423996645155013</stp>
        <tr r="AE11" s="14"/>
      </tp>
      <tp t="s">
        <v>#N/A N/A</v>
        <stp/>
        <stp>BDH|1887998074447084236</stp>
        <tr r="AI68" s="14"/>
      </tp>
      <tp t="s">
        <v>#N/A N/A</v>
        <stp/>
        <stp>BDH|9326238716498556856</stp>
        <tr r="AE14" s="4"/>
      </tp>
      <tp t="s">
        <v>#N/A Requesting Data...3677385465</v>
        <stp/>
        <stp>BDP|5845994745111195320</stp>
        <tr r="AU24" s="14"/>
      </tp>
      <tp t="s">
        <v>#N/A Requesting Data...3565859375</v>
        <stp/>
        <stp>BDP|2493764652352348849</stp>
        <tr r="AD64" s="14"/>
      </tp>
      <tp t="s">
        <v>#N/A Requesting Data...1294467753</v>
        <stp/>
        <stp>BDP|8415736245665579405</stp>
        <tr r="E73" s="16"/>
      </tp>
      <tp t="s">
        <v>#N/A Requesting Data...626628733</v>
        <stp/>
        <stp>BDP|3713637045503747813</stp>
        <tr r="C10" s="16"/>
        <tr r="D12" s="14"/>
      </tp>
      <tp t="s">
        <v>#N/A Requesting Data...3569703746</v>
        <stp/>
        <stp>BDP|8381802572804505935</stp>
        <tr r="AR93" s="14"/>
      </tp>
      <tp t="s">
        <v>#N/A Requesting Data...2026227012</v>
        <stp/>
        <stp>BDP|8942319447237894200</stp>
        <tr r="AE86" s="14"/>
      </tp>
      <tp t="s">
        <v>#N/A N/A</v>
        <stp/>
        <stp>BDH|5039677488433953219</stp>
        <tr r="AI83" s="14"/>
      </tp>
      <tp t="s">
        <v>#N/A N/A</v>
        <stp/>
        <stp>BDP|9233658204613360643</stp>
        <tr r="D21" s="6"/>
      </tp>
      <tp t="s">
        <v>#N/A N/A</v>
        <stp/>
        <stp>BDP|6267450456049258470</stp>
        <tr r="I20" s="7"/>
      </tp>
      <tp t="s">
        <v>#N/A Requesting Data...1359865301</v>
        <stp/>
        <stp>BDP|8719399010670284085</stp>
        <tr r="C66" s="14"/>
      </tp>
      <tp t="s">
        <v>#N/A Requesting Data...3459308720</v>
        <stp/>
        <stp>BDP|7329767576659335442</stp>
        <tr r="G55" s="12"/>
      </tp>
      <tp t="s">
        <v>#N/A Requesting Data...1279139680</v>
        <stp/>
        <stp>BDP|3203801004041509073</stp>
        <tr r="AD35" s="14"/>
      </tp>
      <tp t="s">
        <v>#N/A Requesting Data...2933490652</v>
        <stp/>
        <stp>BDP|5497232910929303500</stp>
        <tr r="AS15" s="14"/>
      </tp>
      <tp t="s">
        <v>#N/A Requesting Data...939706132</v>
        <stp/>
        <stp>BDP|1106657234948330679</stp>
        <tr r="D13" s="14"/>
        <tr r="C11" s="16"/>
      </tp>
      <tp t="s">
        <v>#N/A N/A</v>
        <stp/>
        <stp>BDP|6447920644977688602</stp>
        <tr r="E12" s="7"/>
      </tp>
      <tp t="s">
        <v>#N/A N/A</v>
        <stp/>
        <stp>BDP|4785839933256534366</stp>
        <tr r="U11" s="6"/>
      </tp>
      <tp t="s">
        <v>#N/A N/A</v>
        <stp/>
        <stp>BDP|5336384189654558032</stp>
        <tr r="I13" s="1"/>
      </tp>
      <tp t="s">
        <v>#N/A Requesting Data...3787467724</v>
        <stp/>
        <stp>BDP|5895075039515392909</stp>
        <tr r="C80" s="12"/>
      </tp>
      <tp t="s">
        <v>#N/A Requesting Data...2894546219</v>
        <stp/>
        <stp>BDP|8926753877043711199</stp>
        <tr r="AK76" s="14"/>
      </tp>
      <tp t="s">
        <v>#N/A N/A</v>
        <stp/>
        <stp>BDP|7679970745821275133</stp>
        <tr r="I15" s="4"/>
      </tp>
      <tp t="s">
        <v>#N/A N/A</v>
        <stp/>
        <stp>BDP|4765221901654149808</stp>
        <tr r="W26" s="6"/>
      </tp>
      <tp t="s">
        <v>#N/A Requesting Data...1159987764</v>
        <stp/>
        <stp>BDP|1299810817050273230</stp>
        <tr r="D88" s="12"/>
      </tp>
      <tp t="s">
        <v>#N/A Requesting Data...1066625891</v>
        <stp/>
        <stp>BDP|4669034277538620114</stp>
        <tr r="D49" s="16"/>
        <tr r="E51" s="14"/>
      </tp>
      <tp t="s">
        <v>#N/A Requesting Data...3411711036</v>
        <stp/>
        <stp>BDP|1894219322673929875</stp>
        <tr r="AT105" s="14"/>
      </tp>
      <tp t="s">
        <v>#N/A Requesting Data...1412589486</v>
        <stp/>
        <stp>BDP|9743778874864518746</stp>
        <tr r="V98" s="14"/>
      </tp>
      <tp t="s">
        <v>#N/A Requesting Data...1767020711</v>
        <stp/>
        <stp>BDP|8918011646562322484</stp>
        <tr r="AF49" s="14"/>
      </tp>
      <tp t="s">
        <v>#N/A N/A</v>
        <stp/>
        <stp>BDP|8125111254307671172</stp>
        <tr r="H14" s="4"/>
      </tp>
      <tp t="s">
        <v>#N/A Requesting Data...2798338441</v>
        <stp/>
        <stp>BDP|5613296086547938255</stp>
        <tr r="AR97" s="14"/>
      </tp>
      <tp t="s">
        <v>#N/A Requesting Data...1487361207</v>
        <stp/>
        <stp>BDP|8590547704256583152</stp>
        <tr r="AE54" s="14"/>
      </tp>
      <tp t="s">
        <v>#N/A N/A</v>
        <stp/>
        <stp>BDH|6167530466298167707</stp>
        <tr r="AE100" s="14"/>
      </tp>
      <tp t="s">
        <v>#N/A N/A</v>
        <stp/>
        <stp>BDH|98821677589659141</stp>
        <tr r="AO13" s="1"/>
      </tp>
      <tp t="s">
        <v>#N/A Requesting Data...4026034246</v>
        <stp/>
        <stp>BDP|8575789593294503917</stp>
        <tr r="AM22" s="14"/>
      </tp>
      <tp t="s">
        <v>#N/A Requesting Data...3442472695</v>
        <stp/>
        <stp>BDP|1508896636484486540</stp>
        <tr r="G85" s="14"/>
      </tp>
      <tp t="s">
        <v>#N/A N/A</v>
        <stp/>
        <stp>BDP|2092622679051903981</stp>
        <tr r="F15" s="7"/>
      </tp>
      <tp t="s">
        <v>#N/A Requesting Data...1455316995</v>
        <stp/>
        <stp>BDP|7151812039834346307</stp>
        <tr r="H99" s="14"/>
      </tp>
      <tp t="s">
        <v>#N/A N/A</v>
        <stp/>
        <stp>BDP|8795145027433753393</stp>
        <tr r="AH72" s="14"/>
        <tr r="AH72" s="14"/>
      </tp>
      <tp t="s">
        <v>#N/A N/A</v>
        <stp/>
        <stp>BDP|7761142950801820910</stp>
        <tr r="I19" s="7"/>
      </tp>
      <tp t="s">
        <v>#N/A N/A</v>
        <stp/>
        <stp>BDP|8382946719722691922</stp>
        <tr r="I16" s="6"/>
      </tp>
      <tp t="s">
        <v>#N/A Requesting Data...3995245017</v>
        <stp/>
        <stp>BDP|1367442496612930524</stp>
        <tr r="G26" s="16"/>
      </tp>
      <tp t="s">
        <v>#N/A Requesting Data...2761612244</v>
        <stp/>
        <stp>BDP|6295793960609715569</stp>
        <tr r="C82" s="12"/>
      </tp>
      <tp t="s">
        <v>#N/A Requesting Data...1261318868</v>
        <stp/>
        <stp>BDP|9187080128897212796</stp>
        <tr r="AL23" s="14"/>
      </tp>
      <tp t="s">
        <v>#N/A N/A</v>
        <stp/>
        <stp>BDP|7157586231558069238</stp>
        <tr r="X105" s="14"/>
      </tp>
      <tp t="s">
        <v>#N/A Requesting Data...591169847</v>
        <stp/>
        <stp>BDP|1393295412799654056</stp>
        <tr r="F68" s="16"/>
      </tp>
      <tp t="s">
        <v>#N/A Requesting Data...3236768948</v>
        <stp/>
        <stp>BDP|8830037855857147140</stp>
        <tr r="I20" s="14"/>
        <tr r="I20" s="14"/>
      </tp>
      <tp t="s">
        <v>#N/A N/A</v>
        <stp/>
        <stp>BDP|9600779619412398608</stp>
        <tr r="T90" s="14"/>
        <tr r="T91" s="14"/>
      </tp>
      <tp t="s">
        <v>#N/A Requesting Data...1544464326</v>
        <stp/>
        <stp>BDP|7493585312281495916</stp>
        <tr r="H23" s="14"/>
      </tp>
      <tp t="s">
        <v>#N/A Requesting Data...1316050849</v>
        <stp/>
        <stp>BDP|6771962629194026232</stp>
        <tr r="G72" s="14"/>
      </tp>
      <tp t="s">
        <v>#N/A Requesting Data...1090579791</v>
        <stp/>
        <stp>BDP|5252556192494817661</stp>
        <tr r="AL51" s="14"/>
      </tp>
      <tp t="s">
        <v>#N/A Requesting Data...3742943160</v>
        <stp/>
        <stp>BDP|4021531149277496962</stp>
        <tr r="AS55" s="14"/>
      </tp>
      <tp t="s">
        <v>#N/A N/A</v>
        <stp/>
        <stp>BDP|9168612978915248623</stp>
        <tr r="AH68" s="14"/>
        <tr r="AH68" s="14"/>
      </tp>
      <tp t="s">
        <v>#N/A Requesting Data...1295465207</v>
        <stp/>
        <stp>BDP|7237480192902017307</stp>
        <tr r="G105" s="14"/>
      </tp>
      <tp t="s">
        <v>#N/A Requesting Data...985616970</v>
        <stp/>
        <stp>BDP|4607806478683442325</stp>
        <tr r="AQ20" s="14"/>
      </tp>
      <tp t="s">
        <v>#N/A Requesting Data...3293581489</v>
        <stp/>
        <stp>BDP|5721884052274568702</stp>
        <tr r="G56" s="12"/>
      </tp>
      <tp t="s">
        <v>#N/A N/A</v>
        <stp/>
        <stp>BDP|3625481031459304644</stp>
        <tr r="K78" s="16"/>
        <tr r="K79" s="16"/>
        <tr r="K80" s="16"/>
      </tp>
      <tp t="s">
        <v>#N/A N/A</v>
        <stp/>
        <stp>BDH|2625525739016663933</stp>
        <tr r="AE22" s="14"/>
      </tp>
      <tp t="s">
        <v>#N/A Requesting Data...1132348853</v>
        <stp/>
        <stp>BDP|5774955024883973660</stp>
        <tr r="AB73" s="14"/>
        <tr r="AB73" s="14"/>
      </tp>
      <tp t="s">
        <v>#N/A Requesting Data...3143423823</v>
        <stp/>
        <stp>BDP|9461032985619844339</stp>
        <tr r="G76" s="16"/>
      </tp>
      <tp t="s">
        <v>#N/A Requesting Data...4194585449</v>
        <stp/>
        <stp>BDP|1307599233879929592</stp>
        <tr r="E51" s="16"/>
      </tp>
      <tp t="s">
        <v>#N/A Requesting Data...2501348232</v>
        <stp/>
        <stp>BDP|6819651081381540207</stp>
        <tr r="G34" s="16"/>
      </tp>
      <tp t="s">
        <v>#N/A N/A</v>
        <stp/>
        <stp>BDS|2801919981329388123</stp>
        <tr r="AI36" s="14"/>
        <tr r="AI36" s="14"/>
      </tp>
      <tp t="s">
        <v>#N/A Requesting Data...1973060251</v>
        <stp/>
        <stp>BDP|1367348509170186965</stp>
        <tr r="AS17" s="14"/>
      </tp>
      <tp t="s">
        <v>#N/A N/A</v>
        <stp/>
        <stp>BDP|3021410878492273925</stp>
        <tr r="U21" s="6"/>
      </tp>
      <tp t="s">
        <v>#N/A Requesting Data...2914901842</v>
        <stp/>
        <stp>BDP|7381093182853518746</stp>
        <tr r="AK15" s="14"/>
      </tp>
      <tp t="s">
        <v>#N/A Requesting Data...1260348566</v>
        <stp/>
        <stp>BDP|7621687610653402849</stp>
        <tr r="V13" s="14"/>
      </tp>
      <tp t="s">
        <v>#N/A N/A</v>
        <stp/>
        <stp>BDP|6180184031517434826</stp>
        <tr r="U12" s="1"/>
      </tp>
      <tp t="s">
        <v>#N/A N/A</v>
        <stp/>
        <stp>BDP|8655859827198888124</stp>
        <tr r="L36" s="16"/>
        <tr r="L43" s="16"/>
      </tp>
      <tp t="s">
        <v>#N/A Requesting Data...1346958400</v>
        <stp/>
        <stp>BDP|8072847206783919851</stp>
        <tr r="G97" s="16"/>
      </tp>
      <tp t="s">
        <v>#N/A Requesting Data...2706074120</v>
        <stp/>
        <stp>BDP|7051031787646231286</stp>
        <tr r="C60" s="12"/>
      </tp>
      <tp t="s">
        <v>#N/A N/A</v>
        <stp/>
        <stp>BDH|5757029660028990020</stp>
        <tr r="AN22" s="1"/>
      </tp>
      <tp t="s">
        <v>#N/A N/A</v>
        <stp/>
        <stp>BDP|1143069029088148001</stp>
        <tr r="AL13" s="1"/>
      </tp>
      <tp t="s">
        <v>#N/A Requesting Data...1858839045</v>
        <stp/>
        <stp>BDP|6579381677451779820</stp>
        <tr r="F78" s="16"/>
      </tp>
      <tp t="s">
        <v>#N/A Requesting Data...3621620101</v>
        <stp/>
        <stp>BDP|9556178347321914638</stp>
        <tr r="H32" s="14"/>
      </tp>
      <tp t="s">
        <v>#N/A Requesting Data...3446093143</v>
        <stp/>
        <stp>BDP|3159358608412770975</stp>
        <tr r="C99" s="12"/>
      </tp>
      <tp t="s">
        <v>#N/A Requesting Data...4148052768</v>
        <stp/>
        <stp>BDP|4729979342631798399</stp>
        <tr r="AO61" s="14"/>
        <tr r="AO61" s="14"/>
      </tp>
      <tp t="s">
        <v>#N/A Requesting Data...4077055634</v>
        <stp/>
        <stp>BDP|3187021649528377455</stp>
        <tr r="AF75" s="14"/>
      </tp>
      <tp t="s">
        <v>#N/A Requesting Data...3035918945</v>
        <stp/>
        <stp>BDP|9698421464849999957</stp>
        <tr r="E31" s="16"/>
      </tp>
      <tp t="s">
        <v>#N/A Requesting Data...3874235475</v>
        <stp/>
        <stp>BDP|3707138689587107608</stp>
        <tr r="I58" s="14"/>
        <tr r="I58" s="14"/>
      </tp>
      <tp t="s">
        <v>#N/A N/A</v>
        <stp/>
        <stp>BDP|1142576677568868055</stp>
        <tr r="AH22" s="14"/>
        <tr r="AH22" s="14"/>
      </tp>
      <tp t="s">
        <v>#N/A N/A</v>
        <stp/>
        <stp>BDP|2998019084355976490</stp>
        <tr r="P17" s="6"/>
      </tp>
      <tp t="s">
        <v>#N/A Requesting Data...2767837265</v>
        <stp/>
        <stp>BDP|9533154254014034282</stp>
        <tr r="AP23" s="14"/>
      </tp>
      <tp t="s">
        <v>#N/A Requesting Data...935594925</v>
        <stp/>
        <stp>BDP|4524772679038736705</stp>
        <tr r="E75" s="14"/>
        <tr r="D73" s="16"/>
      </tp>
      <tp t="s">
        <v>#N/A Requesting Data...2456471667</v>
        <stp/>
        <stp>BDP|8125564947282572088</stp>
        <tr r="AF60" s="14"/>
      </tp>
      <tp t="s">
        <v>#N/A Requesting Data...1885565811</v>
        <stp/>
        <stp>BDP|5994922915415043330</stp>
        <tr r="AE99" s="14"/>
      </tp>
      <tp t="s">
        <v>#N/A Requesting Data...1837139686</v>
        <stp/>
        <stp>BDP|5163982796596034829</stp>
        <tr r="K43" s="14"/>
      </tp>
      <tp t="s">
        <v>#N/A Requesting Data...4076618348</v>
        <stp/>
        <stp>BDP|4016194336164384916</stp>
        <tr r="I13" s="14"/>
        <tr r="I13" s="14"/>
      </tp>
      <tp t="s">
        <v>#N/A Requesting Data...3099001381</v>
        <stp/>
        <stp>BDP|6743728993514952726</stp>
        <tr r="E22" s="16"/>
      </tp>
      <tp t="s">
        <v>#N/A N/A</v>
        <stp/>
        <stp>BDP|7249716407248987305</stp>
        <tr r="I13" s="6"/>
      </tp>
      <tp t="s">
        <v>#N/A Requesting Data...655133981</v>
        <stp/>
        <stp>BDP|7573129139626556861</stp>
        <tr r="G47" s="14"/>
      </tp>
      <tp t="s">
        <v>#N/A Requesting Data...1524093594</v>
        <stp/>
        <stp>BDP|6388539990189447898</stp>
        <tr r="K106" s="14"/>
      </tp>
      <tp t="s">
        <v>#N/A Requesting Data...3011630076</v>
        <stp/>
        <stp>BDP|2905721246233875985</stp>
        <tr r="AF94" s="14"/>
      </tp>
      <tp t="s">
        <v>#N/A Requesting Data...2796875985</v>
        <stp/>
        <stp>BDP|3905730527608158510</stp>
        <tr r="AM110" s="14"/>
      </tp>
      <tp t="s">
        <v>#N/A Requesting Data...1433487058</v>
        <stp/>
        <stp>BDP|4581887113823665553</stp>
        <tr r="C85" s="12"/>
      </tp>
      <tp t="s">
        <v>#N/A N/A</v>
        <stp/>
        <stp>BDH|6422663880125990665</stp>
        <tr r="X22" s="7"/>
      </tp>
      <tp t="s">
        <v>#N/A N/A</v>
        <stp/>
        <stp>BDH|4422499872035538977</stp>
        <tr r="AE93" s="14"/>
      </tp>
      <tp t="s">
        <v>#N/A Requesting Data...1047929669</v>
        <stp/>
        <stp>BDP|7545472319271882815</stp>
        <tr r="G78" s="14"/>
      </tp>
      <tp t="s">
        <v>#N/A Requesting Data...4070544186</v>
        <stp/>
        <stp>BDP|1770891917246818539</stp>
        <tr r="AB93" s="14"/>
        <tr r="AB93" s="14"/>
      </tp>
      <tp t="s">
        <v>#N/A Requesting Data...2633505865</v>
        <stp/>
        <stp>BDP|9765243260113580540</stp>
        <tr r="H80" s="14"/>
      </tp>
      <tp t="s">
        <v>#N/A N/A</v>
        <stp/>
        <stp>BDP|8073771209226829246</stp>
        <tr r="Z22" s="1"/>
      </tp>
      <tp t="s">
        <v>#N/A N/A</v>
        <stp/>
        <stp>BDP|8885396595808167177</stp>
        <tr r="U21" s="1"/>
      </tp>
      <tp t="s">
        <v>#N/A N/A</v>
        <stp/>
        <stp>BDP|5303653171327020855</stp>
        <tr r="K26" s="16"/>
      </tp>
      <tp t="s">
        <v>#N/A Requesting Data...3890812513</v>
        <stp/>
        <stp>BDP|6524935451601742022</stp>
        <tr r="F85" s="16"/>
      </tp>
      <tp t="s">
        <v>#N/A Requesting Data...3234278709</v>
        <stp/>
        <stp>BDP|1262731547618659123</stp>
        <tr r="AT37" s="14"/>
      </tp>
      <tp t="s">
        <v>#N/A N/A</v>
        <stp/>
        <stp>BDH|3360400216378795503</stp>
        <tr r="X14" s="6"/>
      </tp>
      <tp t="s">
        <v>#N/A Requesting Data...3533821786</v>
        <stp/>
        <stp>BDP|1924467593983926467</stp>
        <tr r="J11" s="5"/>
      </tp>
      <tp t="s">
        <v>#N/A N/A</v>
        <stp/>
        <stp>BDP|8098078165943836690</stp>
        <tr r="J9" s="16"/>
      </tp>
      <tp t="s">
        <v>#N/A Requesting Data...2335983094</v>
        <stp/>
        <stp>BDP|7795521995464409471</stp>
        <tr r="H16" s="16"/>
        <tr r="H16" s="16"/>
        <tr r="F18" s="14"/>
        <tr r="F18" s="14"/>
      </tp>
      <tp t="s">
        <v>#N/A Requesting Data...2475505991</v>
        <stp/>
        <stp>BDP|2862926079121957698</stp>
        <tr r="C45" s="16"/>
        <tr r="D47" s="14"/>
      </tp>
      <tp t="s">
        <v>#N/A Requesting Data...1670951055</v>
        <stp/>
        <stp>BDP|4874558414043808823</stp>
        <tr r="AM11" s="14"/>
      </tp>
      <tp t="s">
        <v>#N/A Requesting Data...2775305707</v>
        <stp/>
        <stp>BDP|5846618397285804452</stp>
        <tr r="AF35" s="14"/>
      </tp>
      <tp t="s">
        <v>#N/A N/A</v>
        <stp/>
        <stp>BDP|9317887731989904001</stp>
        <tr r="AH13" s="14"/>
        <tr r="AH13" s="14"/>
      </tp>
      <tp t="s">
        <v>#N/A Requesting Data...1350006933</v>
        <stp/>
        <stp>BDP|4412358894981200442</stp>
        <tr r="H73" s="14"/>
      </tp>
      <tp t="s">
        <v>#N/A Requesting Data...2489609064</v>
        <stp/>
        <stp>BDP|8901488849292899137</stp>
        <tr r="AK68" s="14"/>
      </tp>
      <tp t="s">
        <v>#N/A N/A</v>
        <stp/>
        <stp>BDH|8661614850601663129</stp>
        <tr r="AI42" s="14"/>
        <tr r="AI41" s="14"/>
        <tr r="AI46" s="14"/>
        <tr r="AI44" s="14"/>
      </tp>
      <tp t="s">
        <v>#N/A N/A</v>
        <stp/>
        <stp>BDP|9886757123782748595</stp>
        <tr r="T59" s="14"/>
        <tr r="T59" s="14"/>
      </tp>
      <tp t="s">
        <v>#N/A N/A</v>
        <stp/>
        <stp>BDP|2168940382859171164</stp>
        <tr r="D11" s="6"/>
      </tp>
      <tp t="s">
        <v>#N/A Requesting Data...1115785312</v>
        <stp/>
        <stp>BDP|7270170201928506512</stp>
        <tr r="AP86" s="14"/>
      </tp>
      <tp t="s">
        <v>#N/A Requesting Data...794051043</v>
        <stp/>
        <stp>BDP|1650700115949202512</stp>
        <tr r="G52" s="12"/>
      </tp>
      <tp t="s">
        <v>#N/A Requesting Data...1339145867</v>
        <stp/>
        <stp>BDP|4999746451015973856</stp>
        <tr r="AR19" s="14"/>
      </tp>
      <tp t="s">
        <v>#N/A Requesting Data...3313035746</v>
        <stp/>
        <stp>BDP|7896349188622615526</stp>
        <tr r="E29" s="16"/>
      </tp>
      <tp t="s">
        <v>#N/A N/A</v>
        <stp/>
        <stp>BDP|8169318001570197007</stp>
        <tr r="K33" s="16"/>
        <tr r="K29" s="16"/>
        <tr r="K68" s="16"/>
        <tr r="K69" s="16"/>
        <tr r="K64" s="16"/>
        <tr r="K32" s="16"/>
      </tp>
      <tp t="s">
        <v>#N/A Requesting Data...652270787</v>
        <stp/>
        <stp>BDP|2550324404348207216</stp>
        <tr r="AS79" s="14"/>
      </tp>
      <tp t="s">
        <v>#N/A Requesting Data...1025880589</v>
        <stp/>
        <stp>BDP|1357406563731760974</stp>
        <tr r="F90" s="16"/>
      </tp>
      <tp t="s">
        <v>#N/A Requesting Data...2913848318</v>
        <stp/>
        <stp>BDP|2729643031884165827</stp>
        <tr r="AO16" s="14"/>
        <tr r="AO16" s="14"/>
      </tp>
      <tp t="s">
        <v>#N/A Requesting Data...2628256181</v>
        <stp/>
        <stp>BDP|2502311577654788954</stp>
        <tr r="AB47" s="14"/>
        <tr r="AB47" s="14"/>
      </tp>
      <tp t="s">
        <v>#N/A Requesting Data...1691572282</v>
        <stp/>
        <stp>BDP|7852224131468830521</stp>
        <tr r="AO102" s="14"/>
        <tr r="AO102" s="14"/>
      </tp>
      <tp t="s">
        <v>#N/A N/A</v>
        <stp/>
        <stp>BDP|5024111815956783824</stp>
        <tr r="S17" s="6"/>
      </tp>
      <tp t="s">
        <v>#N/A N/A</v>
        <stp/>
        <stp>BDH|6289939654821740031</stp>
        <tr r="AE107" s="14"/>
      </tp>
      <tp t="s">
        <v>#N/A N/A</v>
        <stp/>
        <stp>BDP|1090620580746411206</stp>
        <tr r="T104" s="14"/>
        <tr r="T104" s="14"/>
      </tp>
      <tp t="s">
        <v>#N/A Requesting Data...2443307387</v>
        <stp/>
        <stp>BDP|2693623333129282538</stp>
        <tr r="AK26" s="14"/>
      </tp>
      <tp t="s">
        <v>#N/A Requesting Data...1696090028</v>
        <stp/>
        <stp>BDP|7267063812644211929</stp>
        <tr r="AP32" s="14"/>
      </tp>
      <tp t="s">
        <v>#N/A Requesting Data...1773583895</v>
        <stp/>
        <stp>BDP|9462589881686224996</stp>
        <tr r="G36" s="14"/>
      </tp>
      <tp t="s">
        <v>#N/A Requesting Data...3364054776</v>
        <stp/>
        <stp>BDP|3461863144825892189</stp>
        <tr r="AT39" s="14"/>
      </tp>
      <tp t="s">
        <v>#N/A N/A</v>
        <stp/>
        <stp>BDP|6221584155339121487</stp>
        <tr r="N13" s="7"/>
      </tp>
      <tp t="s">
        <v>#N/A Requesting Data...3581072707</v>
        <stp/>
        <stp>BDP|7945365879491219927</stp>
        <tr r="E11" s="5"/>
      </tp>
      <tp t="s">
        <v>#N/A Requesting Data...630062815</v>
        <stp/>
        <stp>BDP|8858158428082404278</stp>
        <tr r="H95" s="14"/>
      </tp>
      <tp t="s">
        <v>#N/A Requesting Data...3598964532</v>
        <stp/>
        <stp>BDP|8597738796145358851</stp>
        <tr r="G77" s="16"/>
      </tp>
      <tp t="s">
        <v>#N/A Requesting Data...756256516</v>
        <stp/>
        <stp>BDP|7078732424230100900</stp>
        <tr r="I41" s="14"/>
        <tr r="I41" s="14"/>
      </tp>
      <tp t="s">
        <v>#N/A Requesting Data...1151105654</v>
        <stp/>
        <stp>BDP|8319713920445742334</stp>
        <tr r="AH62" s="14"/>
      </tp>
      <tp t="s">
        <v>#N/A N/A</v>
        <stp/>
        <stp>BDP|5544004991937449074</stp>
        <tr r="Q111" s="14"/>
        <tr r="Q112" s="14"/>
        <tr r="Q113" s="14"/>
        <tr r="Q114" s="14"/>
        <tr r="Q115" s="14"/>
        <tr r="Q116" s="14"/>
        <tr r="Q117" s="14"/>
        <tr r="Q118" s="14"/>
        <tr r="Q119" s="14"/>
        <tr r="Q120" s="14"/>
        <tr r="Q121" s="14"/>
        <tr r="Q122" s="14"/>
        <tr r="Q123" s="14"/>
        <tr r="Q124" s="14"/>
        <tr r="Q125" s="14"/>
        <tr r="Q126" s="14"/>
        <tr r="Q127" s="14"/>
        <tr r="Q128" s="14"/>
        <tr r="Q129" s="14"/>
        <tr r="Q130" s="14"/>
        <tr r="Q131" s="14"/>
        <tr r="Q132" s="14"/>
        <tr r="Q133" s="14"/>
        <tr r="Q134" s="14"/>
        <tr r="Q135" s="14"/>
        <tr r="Q136" s="14"/>
        <tr r="Q137" s="14"/>
        <tr r="Q138" s="14"/>
        <tr r="Q139" s="14"/>
        <tr r="Q140" s="14"/>
        <tr r="Q141" s="14"/>
        <tr r="Q142" s="14"/>
        <tr r="Q143" s="14"/>
        <tr r="Q144" s="14"/>
        <tr r="Q145" s="14"/>
        <tr r="Q146" s="14"/>
        <tr r="Q147" s="14"/>
        <tr r="Q148" s="14"/>
        <tr r="Q149" s="14"/>
        <tr r="Q150" s="14"/>
        <tr r="Q151" s="14"/>
        <tr r="Q152" s="14"/>
        <tr r="Q153" s="14"/>
        <tr r="Q154" s="14"/>
        <tr r="Q155" s="14"/>
        <tr r="Q156" s="14"/>
        <tr r="Q157" s="14"/>
        <tr r="Q158" s="14"/>
        <tr r="Q159" s="14"/>
        <tr r="Q160" s="14"/>
      </tp>
      <tp t="s">
        <v>#N/A Requesting Data...4083542490</v>
        <stp/>
        <stp>BDP|1915974017455791790</stp>
        <tr r="AH77" s="14"/>
      </tp>
      <tp t="s">
        <v>#N/A N/A</v>
        <stp/>
        <stp>BDP|3013227790961397267</stp>
        <tr r="J87" s="14"/>
        <tr r="J87" s="14"/>
      </tp>
      <tp t="s">
        <v>#N/A Requesting Data...824689349</v>
        <stp/>
        <stp>BDP|9373971582987663478</stp>
        <tr r="I106" s="14"/>
        <tr r="I106" s="14"/>
      </tp>
      <tp t="s">
        <v>#N/A Requesting Data...671735304</v>
        <stp/>
        <stp>BDP|3160843434022121174</stp>
        <tr r="K60" s="14"/>
      </tp>
      <tp t="s">
        <v>#N/A Requesting Data...2944043084</v>
        <stp/>
        <stp>BDP|5352607396934683540</stp>
        <tr r="AR98" s="14"/>
      </tp>
      <tp t="s">
        <v>#N/A Requesting Data...1342538125</v>
        <stp/>
        <stp>BDP|9567720525726566102</stp>
        <tr r="AP109" s="14"/>
      </tp>
      <tp t="s">
        <v>#N/A Requesting Data...3445801768</v>
        <stp/>
        <stp>BDP|9379131027332418379</stp>
        <tr r="J25" s="1"/>
        <tr r="J13" s="5"/>
        <tr r="J24" s="1"/>
        <tr r="J16" s="4"/>
        <tr r="J12" s="5"/>
        <tr r="J28" s="1"/>
        <tr r="J19" s="4"/>
        <tr r="J17" s="4"/>
        <tr r="J21" s="4"/>
        <tr r="F28" s="6"/>
        <tr r="F27" s="6"/>
        <tr r="J20" s="4"/>
        <tr r="J26" s="1"/>
        <tr r="J27" s="1"/>
        <tr r="J18" s="4"/>
      </tp>
      <tp t="s">
        <v>#N/A N/A</v>
        <stp/>
        <stp>BDS|4270758825743465920</stp>
        <tr r="AI81" s="14"/>
        <tr r="AI81" s="14"/>
      </tp>
      <tp t="s">
        <v>#N/A N/A</v>
        <stp/>
        <stp>BDP|2980166887117505791</stp>
        <tr r="H12" s="4"/>
      </tp>
      <tp t="s">
        <v>#N/A Requesting Data...4223369377</v>
        <stp/>
        <stp>BDP|2330902221474409625</stp>
        <tr r="AR63" s="14"/>
      </tp>
      <tp t="s">
        <v>#N/A Requesting Data...4195791945</v>
        <stp/>
        <stp>BDP|6179860416755247174</stp>
        <tr r="F39" s="16"/>
      </tp>
      <tp t="s">
        <v>#N/A Requesting Data...1701191686</v>
        <stp/>
        <stp>BDP|1552934347045786230</stp>
        <tr r="C39" s="16"/>
        <tr r="D41" s="14"/>
      </tp>
      <tp t="s">
        <v>#N/A Requesting Data...1134900553</v>
        <stp/>
        <stp>BDP|2889408630169550789</stp>
        <tr r="AL68" s="14"/>
      </tp>
      <tp t="s">
        <v>#N/A Requesting Data...2538906261</v>
        <stp/>
        <stp>BDP|6928001096310390496</stp>
        <tr r="C74" s="14"/>
      </tp>
      <tp t="s">
        <v>#N/A Requesting Data...4043084179</v>
        <stp/>
        <stp>BDP|6929675161159313499</stp>
        <tr r="K85" s="14"/>
      </tp>
      <tp t="s">
        <v>#N/A N/A</v>
        <stp/>
        <stp>BDP|9799470764568233831</stp>
        <tr r="J96" s="16"/>
        <tr r="J97" s="16"/>
        <tr r="J98" s="16"/>
        <tr r="J95" s="16"/>
      </tp>
      <tp t="s">
        <v>#N/A Requesting Data...3967055305</v>
        <stp/>
        <stp>BDP|5194346120107780877</stp>
        <tr r="I101" s="14"/>
        <tr r="I101" s="14"/>
      </tp>
      <tp t="s">
        <v>#N/A Requesting Data...3917926014</v>
        <stp/>
        <stp>BDP|4051995460037490788</stp>
        <tr r="H49" s="16"/>
        <tr r="H49" s="16"/>
        <tr r="F51" s="14"/>
        <tr r="F51" s="14"/>
      </tp>
      <tp t="s">
        <v>#N/A Requesting Data...1415366637</v>
        <stp/>
        <stp>BDP|3890392329160460999</stp>
        <tr r="AM61" s="14"/>
      </tp>
      <tp t="s">
        <v>#N/A N/A</v>
        <stp/>
        <stp>BDP|4014566710263443876</stp>
        <tr r="S11" s="4"/>
      </tp>
      <tp t="s">
        <v>#N/A Requesting Data...3665596201</v>
        <stp/>
        <stp>BDP|4817496191081292378</stp>
        <tr r="AD44" s="14"/>
      </tp>
      <tp t="s">
        <v>#N/A Requesting Data...3318715785</v>
        <stp/>
        <stp>BDP|4489165729515798669</stp>
        <tr r="F38" s="14"/>
        <tr r="F38" s="14"/>
        <tr r="H36" s="16"/>
        <tr r="H36" s="16"/>
      </tp>
      <tp t="s">
        <v>#N/A Requesting Data...2960955368</v>
        <stp/>
        <stp>BDP|8031897573790778379</stp>
        <tr r="AD56" s="14"/>
      </tp>
      <tp t="s">
        <v>#N/A Requesting Data...1519153737</v>
        <stp/>
        <stp>BDP|8046699490833746040</stp>
        <tr r="AN78" s="14"/>
      </tp>
      <tp t="s">
        <v>#N/A Requesting Data...4268029911</v>
        <stp/>
        <stp>BDP|6533063389982191813</stp>
        <tr r="I32" s="14"/>
        <tr r="I32" s="14"/>
      </tp>
      <tp t="s">
        <v>#N/A Requesting Data...3056591514</v>
        <stp/>
        <stp>BDP|5805363616537170437</stp>
        <tr r="G104" s="16"/>
      </tp>
      <tp t="s">
        <v>#N/A N/A</v>
        <stp/>
        <stp>BDP|4405095217144868584</stp>
        <tr r="K19" s="16"/>
        <tr r="K77" s="16"/>
      </tp>
      <tp t="s">
        <v>#N/A Requesting Data...2678083235</v>
        <stp/>
        <stp>BDP|9939162589332480691</stp>
        <tr r="I87" s="14"/>
      </tp>
      <tp t="s">
        <v>#N/A Requesting Data...2932224202</v>
        <stp/>
        <stp>BDP|8176215953232934918</stp>
        <tr r="AM96" s="14"/>
      </tp>
      <tp t="s">
        <v>#N/A Requesting Data...2346784268</v>
        <stp/>
        <stp>BDP|5849265924252615378</stp>
        <tr r="AQ81" s="14"/>
      </tp>
      <tp t="s">
        <v>#N/A Requesting Data...3017526263</v>
        <stp/>
        <stp>BDP|6333888286133176171</stp>
        <tr r="E34" s="16"/>
      </tp>
      <tp t="s">
        <v>#N/A Requesting Data...3600739664</v>
        <stp/>
        <stp>BDP|9679592231382615937</stp>
        <tr r="AO20" s="14"/>
        <tr r="AO20" s="14"/>
      </tp>
      <tp t="s">
        <v>#N/A Requesting Data...2618521243</v>
        <stp/>
        <stp>BDP|1565965180393145794</stp>
        <tr r="AB41" s="14"/>
        <tr r="AB41" s="14"/>
      </tp>
      <tp t="s">
        <v>#N/A Requesting Data...683682319</v>
        <stp/>
        <stp>BDP|3816996899323335404</stp>
        <tr r="AT82" s="14"/>
      </tp>
      <tp t="s">
        <v>#N/A N/A</v>
        <stp/>
        <stp>BDP|1523436514046923602</stp>
        <tr r="P12" s="7"/>
      </tp>
      <tp t="s">
        <v>#N/A Requesting Data...3355142372</v>
        <stp/>
        <stp>BDP|5710778418284149329</stp>
        <tr r="AL19" s="1"/>
      </tp>
      <tp t="s">
        <v>#N/A Requesting Data...2328500170</v>
        <stp/>
        <stp>BDP|7188917913962819901</stp>
        <tr r="AE40" s="14"/>
      </tp>
      <tp t="s">
        <v>#N/A Requesting Data...3522060842</v>
        <stp/>
        <stp>BDP|1491517211704514590</stp>
        <tr r="AP67" s="14"/>
      </tp>
      <tp t="s">
        <v>#N/A Requesting Data...4043480273</v>
        <stp/>
        <stp>BDP|8879770906892669971</stp>
        <tr r="C66" s="12"/>
      </tp>
      <tp t="s">
        <v>#N/A Requesting Data...1138682892</v>
        <stp/>
        <stp>BDP|3002650987809330094</stp>
        <tr r="AO69" s="14"/>
        <tr r="AO69" s="14"/>
      </tp>
      <tp t="s">
        <v>#N/A Requesting Data...3268627621</v>
        <stp/>
        <stp>BDP|2300449065841802521</stp>
        <tr r="K108" s="14"/>
      </tp>
      <tp t="s">
        <v>#N/A Requesting Data...3006419242</v>
        <stp/>
        <stp>BDP|4468918290702520288</stp>
        <tr r="G93" s="16"/>
      </tp>
      <tp t="s">
        <v>#N/A Requesting Data...3908782536</v>
        <stp/>
        <stp>BDP|2847455229416594698</stp>
        <tr r="AU57" s="14"/>
      </tp>
      <tp t="s">
        <v>#N/A Requesting Data...3043841792</v>
        <stp/>
        <stp>BDP|8260195632267736964</stp>
        <tr r="AP40" s="14"/>
      </tp>
      <tp t="s">
        <v>#N/A N/A</v>
        <stp/>
        <stp>BDP|9882586224218440295</stp>
        <tr r="J14" s="16"/>
      </tp>
      <tp t="s">
        <v>#N/A Requesting Data...4099168603</v>
        <stp/>
        <stp>BDP|6823009260736701261</stp>
        <tr r="C79" s="14"/>
      </tp>
      <tp t="s">
        <v>#N/A Requesting Data...4281589334</v>
        <stp/>
        <stp>BDP|4738136497739291184</stp>
        <tr r="E19" s="16"/>
      </tp>
      <tp t="s">
        <v>#N/A Requesting Data...1945825712</v>
        <stp/>
        <stp>BDP|1093319768904092401</stp>
        <tr r="G35" s="16"/>
      </tp>
      <tp t="s">
        <v>#N/A Requesting Data...1514616502</v>
        <stp/>
        <stp>BDP|1473447249662158710</stp>
        <tr r="AM77" s="14"/>
      </tp>
      <tp t="s">
        <v>#N/A N/A</v>
        <stp/>
        <stp>BDP|2705650640567323385</stp>
        <tr r="E15" s="4"/>
      </tp>
      <tp t="s">
        <v>#N/A Requesting Data...3919539311</v>
        <stp/>
        <stp>BDP|5010693578049935914</stp>
        <tr r="G88" s="16"/>
        <tr r="G89" s="16"/>
      </tp>
      <tp t="s">
        <v>#N/A Requesting Data...1255763840</v>
        <stp/>
        <stp>BDP|9075197074459747235</stp>
        <tr r="AU106" s="14"/>
      </tp>
      <tp t="s">
        <v>#N/A N/A</v>
        <stp/>
        <stp>BDP|1469061350647315785</stp>
        <tr r="T94" s="14"/>
        <tr r="T94" s="14"/>
      </tp>
      <tp t="s">
        <v>#N/A N/A</v>
        <stp/>
        <stp>BDP|7317496017387540114</stp>
        <tr r="V93" s="14"/>
      </tp>
      <tp t="s">
        <v>#N/A N/A</v>
        <stp/>
        <stp>BDP|7765113271233990678</stp>
        <tr r="S20" s="7"/>
      </tp>
      <tp t="s">
        <v>#N/A Requesting Data...738251789</v>
        <stp/>
        <stp>BDP|9004516095028500980</stp>
        <tr r="H65" s="14"/>
      </tp>
      <tp t="s">
        <v>#N/A N/A</v>
        <stp/>
        <stp>BDH|6941333810500011036</stp>
        <tr r="AE44" s="14"/>
      </tp>
      <tp t="s">
        <v>#N/A Requesting Data...4153259293</v>
        <stp/>
        <stp>BDP|1542023091994973818</stp>
        <tr r="AS78" s="14"/>
      </tp>
      <tp t="s">
        <v>#N/A N/A</v>
        <stp/>
        <stp>BDP|7859373310615870496</stp>
        <tr r="T108" s="14"/>
        <tr r="T108" s="14"/>
      </tp>
      <tp t="s">
        <v>#N/A Requesting Data...1851822681</v>
        <stp/>
        <stp>BDP|5617547921075462393</stp>
        <tr r="AO17" s="14"/>
        <tr r="AO17" s="14"/>
      </tp>
      <tp t="s">
        <v>#N/A N/A</v>
        <stp/>
        <stp>BDP|2754522408483321005</stp>
        <tr r="AA93" s="14"/>
      </tp>
      <tp t="s">
        <v>#N/A Requesting Data...4100084247</v>
        <stp/>
        <stp>BDP|7444196100941170331</stp>
        <tr r="G68" s="14"/>
      </tp>
      <tp t="s">
        <v>#N/A Requesting Data...3356126466</v>
        <stp/>
        <stp>BDP|5017645083317184892</stp>
        <tr r="AP35" s="14"/>
      </tp>
      <tp t="s">
        <v>#N/A N/A</v>
        <stp/>
        <stp>BDP|2059847128848017437</stp>
        <tr r="L50" s="16"/>
        <tr r="L70" s="16"/>
        <tr r="L72" s="16"/>
        <tr r="L48" s="16"/>
        <tr r="L51" s="16"/>
      </tp>
      <tp t="s">
        <v>#N/A Requesting Data...937506116</v>
        <stp/>
        <stp>BDP|8219689163199309557</stp>
        <tr r="AE96" s="14"/>
      </tp>
      <tp t="s">
        <v>#N/A Requesting Data...757808233</v>
        <stp/>
        <stp>BDP|5393389481939188343</stp>
        <tr r="D15" s="16"/>
        <tr r="E17" s="14"/>
      </tp>
      <tp t="s">
        <v>#N/A Requesting Data...4283258937</v>
        <stp/>
        <stp>BDP|7405025568277524242</stp>
        <tr r="D85" s="12"/>
      </tp>
      <tp t="s">
        <v>#N/A N/A</v>
        <stp/>
        <stp>BDH|6638378738323102174</stp>
        <tr r="AI19" s="14"/>
        <tr r="AI18" s="14"/>
      </tp>
      <tp t="s">
        <v>#N/A Requesting Data...1018758049</v>
        <stp/>
        <stp>BDP|7736180558895201293</stp>
        <tr r="C97" s="14"/>
      </tp>
      <tp t="s">
        <v>#N/A Requesting Data...4164375925</v>
        <stp/>
        <stp>BDP|1081965622029170798</stp>
        <tr r="C13" s="12"/>
      </tp>
      <tp t="s">
        <v>#N/A N/A</v>
        <stp/>
        <stp>BDP|6153743081215064887</stp>
        <tr r="T17" s="14"/>
        <tr r="T17" s="14"/>
      </tp>
      <tp t="s">
        <v>#N/A N/A</v>
        <stp/>
        <stp>BDP|7652395063442660467</stp>
        <tr r="I83" s="16"/>
      </tp>
      <tp t="s">
        <v>#N/A Requesting Data...890580463</v>
        <stp/>
        <stp>BDP|2763402164945621199</stp>
        <tr r="AP65" s="14"/>
      </tp>
      <tp t="s">
        <v>#N/A N/A</v>
        <stp/>
        <stp>BDH|2201157367028405980</stp>
        <tr r="AI70" s="14"/>
        <tr r="AI71" s="14"/>
        <tr r="AI66" s="14"/>
      </tp>
      <tp t="s">
        <v>#N/A Requesting Data...3334253531</v>
        <stp/>
        <stp>BDP|6357692443067685724</stp>
        <tr r="AE16" s="14"/>
      </tp>
      <tp t="s">
        <v>#N/A Requesting Data...1345076690</v>
        <stp/>
        <stp>BDP|1805236763833495219</stp>
        <tr r="F107" s="16"/>
      </tp>
      <tp t="s">
        <v>#N/A Requesting Data...1339957910</v>
        <stp/>
        <stp>BDP|6107095401294569612</stp>
        <tr r="AU36" s="14"/>
      </tp>
      <tp t="s">
        <v>#N/A Requesting Data...3982512514</v>
        <stp/>
        <stp>BDP|3474332134311727696</stp>
        <tr r="G83" s="16"/>
      </tp>
      <tp t="s">
        <v>#N/A Requesting Data...3235576882</v>
        <stp/>
        <stp>BDP|1909149650171395033</stp>
        <tr r="AT32" s="14"/>
      </tp>
      <tp t="s">
        <v>#N/A Requesting Data...895679091</v>
        <stp/>
        <stp>BDP|8138763528048435164</stp>
        <tr r="E11" s="4"/>
      </tp>
      <tp t="s">
        <v>#N/A N/A</v>
        <stp/>
        <stp>BDP|9215272553542203890</stp>
        <tr r="L106" s="16"/>
      </tp>
      <tp t="s">
        <v>#N/A Requesting Data...3150986121</v>
        <stp/>
        <stp>BDP|6705333129343843082</stp>
        <tr r="AE39" s="14"/>
      </tp>
      <tp t="s">
        <v>#N/A N/A</v>
        <stp/>
        <stp>BDP|1600857340939465051</stp>
        <tr r="J99" s="16"/>
      </tp>
      <tp t="s">
        <v>#N/A N/A</v>
        <stp/>
        <stp>BDP|3292737618337378680</stp>
        <tr r="AH87" s="14"/>
        <tr r="AH87" s="14"/>
      </tp>
      <tp t="s">
        <v>#N/A Requesting Data...2640345053</v>
        <stp/>
        <stp>BDP|2972668018331218070</stp>
        <tr r="C101" s="16"/>
        <tr r="D103" s="14"/>
      </tp>
      <tp t="s">
        <v>#N/A Requesting Data...1432843253</v>
        <stp/>
        <stp>BDP|7256676842176658738</stp>
        <tr r="D56" s="14"/>
        <tr r="C54" s="16"/>
      </tp>
      <tp t="s">
        <v>#N/A N/A</v>
        <stp/>
        <stp>BDP|4323433831834450373</stp>
        <tr r="G21" s="6"/>
      </tp>
      <tp t="s">
        <v>#N/A Requesting Data...2677954672</v>
        <stp/>
        <stp>BDP|3665327574867549473</stp>
        <tr r="AR79" s="14"/>
      </tp>
      <tp t="s">
        <v>#N/A Requesting Data...1133631481</v>
        <stp/>
        <stp>BDP|2894753114457375788</stp>
        <tr r="AQ64" s="14"/>
      </tp>
      <tp t="s">
        <v>#N/A N/A</v>
        <stp/>
        <stp>BDP|5042814869896815928</stp>
        <tr r="T13" s="14"/>
        <tr r="T13" s="14"/>
      </tp>
      <tp t="s">
        <v>#N/A N/A</v>
        <stp/>
        <stp>BDP|7422150814437425435</stp>
        <tr r="T12" s="14"/>
        <tr r="T12" s="14"/>
      </tp>
      <tp t="s">
        <v>#N/A Requesting Data...2913841459</v>
        <stp/>
        <stp>BDP|3925334153835989427</stp>
        <tr r="AF29" s="14"/>
      </tp>
      <tp t="s">
        <v>#N/A Requesting Data...719245122</v>
        <stp/>
        <stp>BDP|7538909143986697828</stp>
        <tr r="V103" s="14"/>
      </tp>
      <tp t="s">
        <v>#N/A Requesting Data...2859403095</v>
        <stp/>
        <stp>BDP|3690391825892019485</stp>
        <tr r="H30" s="14"/>
      </tp>
      <tp t="s">
        <v>#N/A N/A</v>
        <stp/>
        <stp>BDP|7895495589049296682</stp>
        <tr r="N23" s="7"/>
      </tp>
      <tp t="s">
        <v>#N/A N/A</v>
        <stp/>
        <stp>BDH|2363027590859176627</stp>
        <tr r="AI102" s="14"/>
      </tp>
      <tp t="s">
        <v>#N/A N/A</v>
        <stp/>
        <stp>BDH|5115352647763697575</stp>
        <tr r="AE63" s="14"/>
      </tp>
      <tp t="s">
        <v>#N/A Requesting Data...2450041200</v>
        <stp/>
        <stp>BDP|2349239123286372030</stp>
        <tr r="D67" s="12"/>
      </tp>
      <tp t="s">
        <v>#N/A Requesting Data...3344055728</v>
        <stp/>
        <stp>BDP|2840488147924785231</stp>
        <tr r="AN38" s="14"/>
      </tp>
      <tp t="s">
        <v>#N/A Requesting Data...2343292858</v>
        <stp/>
        <stp>BDP|9952162802489650589</stp>
        <tr r="C22" s="14"/>
      </tp>
      <tp t="s">
        <v>#N/A N/A</v>
        <stp/>
        <stp>BDP|7440934356167722852</stp>
        <tr r="M23" s="1"/>
      </tp>
      <tp t="s">
        <v>#N/A N/A</v>
        <stp/>
        <stp>BDP|6319536744147436434</stp>
        <tr r="T82" s="14"/>
        <tr r="T82" s="14"/>
      </tp>
      <tp t="s">
        <v>#N/A N/A</v>
        <stp/>
        <stp>BDP|8668969257961511116</stp>
        <tr r="I21" s="16"/>
      </tp>
      <tp t="s">
        <v>#N/A N/A</v>
        <stp/>
        <stp>BDP|2181225015852031756</stp>
        <tr r="E11" s="6"/>
      </tp>
      <tp t="s">
        <v>#N/A Requesting Data...4025176139</v>
        <stp/>
        <stp>BDP|6293305025192002149</stp>
        <tr r="C26" s="14"/>
      </tp>
      <tp t="s">
        <v>#N/A N/A</v>
        <stp/>
        <stp>BDS|1431791127715969506</stp>
        <tr r="AI87" s="14"/>
        <tr r="AI87" s="14"/>
      </tp>
      <tp t="s">
        <v>#N/A N/A</v>
        <stp/>
        <stp>BDH|1984083370652322013</stp>
        <tr r="AE14" s="14"/>
      </tp>
      <tp t="s">
        <v>#N/A N/A</v>
        <stp/>
        <stp>BDP|3719006221065382057</stp>
        <tr r="T65" s="14"/>
        <tr r="T65" s="14"/>
      </tp>
      <tp t="s">
        <v>#N/A Requesting Data...3905814878</v>
        <stp/>
        <stp>BDP|6248760956496235608</stp>
        <tr r="AS58" s="14"/>
      </tp>
      <tp t="s">
        <v>#N/A Requesting Data...1153459790</v>
        <stp/>
        <stp>BDP|7145539628295347195</stp>
        <tr r="AQ73" s="14"/>
      </tp>
      <tp t="s">
        <v>#N/A N/A</v>
        <stp/>
        <stp>BDP|4428641731986887391</stp>
        <tr r="J51" s="14"/>
        <tr r="J51" s="14"/>
      </tp>
      <tp t="s">
        <v>#N/A Requesting Data...1185238628</v>
        <stp/>
        <stp>BDP|6248290729621794358</stp>
        <tr r="AB101" s="14"/>
        <tr r="AB101" s="14"/>
      </tp>
      <tp t="s">
        <v>#N/A N/A</v>
        <stp/>
        <stp>BDP|1589322346122611078</stp>
        <tr r="U12" s="7"/>
      </tp>
      <tp t="s">
        <v>#N/A Requesting Data...2810637100</v>
        <stp/>
        <stp>BDP|2693562623354607543</stp>
        <tr r="K42" s="14"/>
      </tp>
      <tp t="s">
        <v>#N/A Requesting Data...2533337315</v>
        <stp/>
        <stp>BDP|1039588177741754692</stp>
        <tr r="AN81" s="14"/>
      </tp>
      <tp t="s">
        <v>#N/A Requesting Data...3764998198</v>
        <stp/>
        <stp>BDP|1217931490150897587</stp>
        <tr r="F30" s="16"/>
      </tp>
      <tp t="s">
        <v>#N/A Requesting Data...3334577522</v>
        <stp/>
        <stp>BDP|6551195995519984312</stp>
        <tr r="AM25" s="14"/>
      </tp>
      <tp t="s">
        <v>#N/A N/A</v>
        <stp/>
        <stp>BDP|2452504934591783162</stp>
        <tr r="L66" s="16"/>
      </tp>
      <tp t="s">
        <v>#N/A Requesting Data...1383040798</v>
        <stp/>
        <stp>BDP|1011212707266633110</stp>
        <tr r="AF14" s="14"/>
      </tp>
      <tp t="s">
        <v>#N/A Requesting Data...1253952902</v>
        <stp/>
        <stp>BDP|6788129582089146277</stp>
        <tr r="AQ48" s="14"/>
      </tp>
      <tp t="s">
        <v>#N/A N/A</v>
        <stp/>
        <stp>BDP|8791351791633686544</stp>
        <tr r="J39" s="16"/>
        <tr r="J40" s="16"/>
        <tr r="J82" s="16"/>
      </tp>
      <tp t="s">
        <v>#N/A Requesting Data...1265424348</v>
        <stp/>
        <stp>BDP|6606166575572367670</stp>
        <tr r="AQ31" s="14"/>
      </tp>
      <tp t="s">
        <v>#N/A N/A</v>
        <stp/>
        <stp>BDP|4312645717126613172</stp>
        <tr r="Y107" s="14"/>
      </tp>
      <tp t="s">
        <v>#N/A N/A</v>
        <stp/>
        <stp>BDH|3539505672244126175</stp>
        <tr r="AD13" s="4"/>
      </tp>
      <tp t="s">
        <v>#N/A N/A</v>
        <stp/>
        <stp>BDP|6287265155803176669</stp>
        <tr r="E13" s="6"/>
      </tp>
      <tp t="s">
        <v>#N/A Requesting Data...2153580143</v>
        <stp/>
        <stp>BDP|2922088331795076061</stp>
        <tr r="F48" s="16"/>
      </tp>
      <tp t="s">
        <v>#N/A Requesting Data...3980964797</v>
        <stp/>
        <stp>BDP|1470529221185922787</stp>
        <tr r="C90" s="12"/>
      </tp>
      <tp t="s">
        <v>#N/A N/A</v>
        <stp/>
        <stp>BDP|3322610919515527588</stp>
        <tr r="AH16" s="14"/>
        <tr r="AH16" s="14"/>
      </tp>
      <tp t="s">
        <v>#N/A Requesting Data...1766149844</v>
        <stp/>
        <stp>BDP|6946784003835344070</stp>
        <tr r="AE43" s="14"/>
      </tp>
      <tp t="s">
        <v>#N/A Requesting Data...2675737493</v>
        <stp/>
        <stp>BDP|7967600244710991127</stp>
        <tr r="F92" s="16"/>
      </tp>
      <tp t="s">
        <v>#N/A Requesting Data...1412676060</v>
        <stp/>
        <stp>BDP|9654566797103898294</stp>
        <tr r="G66" s="16"/>
      </tp>
      <tp t="s">
        <v>#N/A Requesting Data...2000946871</v>
        <stp/>
        <stp>BDP|8701713394354508611</stp>
        <tr r="D69" s="12"/>
      </tp>
      <tp t="s">
        <v>#N/A Requesting Data...2867358963</v>
        <stp/>
        <stp>BDP|1054393261402946276</stp>
        <tr r="AO66" s="14"/>
        <tr r="AO66" s="14"/>
      </tp>
      <tp t="s">
        <v>#N/A Requesting Data...1665436337</v>
        <stp/>
        <stp>BDP|8057196253140561894</stp>
        <tr r="F11" s="12"/>
      </tp>
      <tp t="s">
        <v>#N/A Requesting Data...3017810429</v>
        <stp/>
        <stp>BDP|5667378900547134568</stp>
        <tr r="AQ101" s="14"/>
      </tp>
      <tp t="s">
        <v>#N/A Requesting Data...3245717022</v>
        <stp/>
        <stp>BDP|1956034746193805227</stp>
        <tr r="I90" s="14"/>
        <tr r="I90" s="14"/>
        <tr r="I91" s="14"/>
        <tr r="I91" s="14"/>
      </tp>
      <tp t="s">
        <v>#N/A N/A</v>
        <stp/>
        <stp>BDP|2688039049377290592</stp>
        <tr r="Z105" s="14"/>
      </tp>
      <tp t="s">
        <v>#N/A Requesting Data...2046382307</v>
        <stp/>
        <stp>BDP|9770026308385992833</stp>
        <tr r="AK18" s="1"/>
      </tp>
      <tp t="s">
        <v>#N/A N/A</v>
        <stp/>
        <stp>BDP|9676473098757613788</stp>
        <tr r="AA17" s="1"/>
      </tp>
      <tp t="s">
        <v>#N/A N/A</v>
        <stp/>
        <stp>BDP|7589653764220609357</stp>
        <tr r="E6" s="6"/>
      </tp>
      <tp t="s">
        <v>#N/A N/A</v>
        <stp/>
        <stp>BDP|4121328501753552006</stp>
        <tr r="T81" s="14"/>
        <tr r="T81" s="14"/>
      </tp>
      <tp t="s">
        <v>#N/A Requesting Data...2851849591</v>
        <stp/>
        <stp>BDP|2392881293584660398</stp>
        <tr r="C64" s="12"/>
      </tp>
      <tp t="s">
        <v>#N/A N/A</v>
        <stp/>
        <stp>BDP|3291477692958002202</stp>
        <tr r="I14" s="6"/>
      </tp>
      <tp t="s">
        <v>#N/A Requesting Data...3652162170</v>
        <stp/>
        <stp>BDP|3544915377981593815</stp>
        <tr r="I29" s="14"/>
        <tr r="I29" s="14"/>
      </tp>
      <tp t="s">
        <v>#N/A Requesting Data...775486323</v>
        <stp/>
        <stp>BDP|5124819867856772972</stp>
        <tr r="AE17" s="14"/>
      </tp>
      <tp t="s">
        <v>#N/A N/A</v>
        <stp/>
        <stp>BDP|3295640904885104479</stp>
        <tr r="J34" s="16"/>
      </tp>
      <tp t="s">
        <v>#N/A N/A</v>
        <stp/>
        <stp>BDP|8450161421988033775</stp>
        <tr r="B6" s="7"/>
      </tp>
      <tp t="s">
        <v>#N/A Requesting Data...2215380688</v>
        <stp/>
        <stp>BDP|7042455110086157008</stp>
        <tr r="AS21" s="14"/>
      </tp>
      <tp t="s">
        <v>#N/A Requesting Data...1775906409</v>
        <stp/>
        <stp>BDP|9761801149429971837</stp>
        <tr r="AK79" s="14"/>
      </tp>
      <tp t="s">
        <v>#N/A Requesting Data...4199887081</v>
        <stp/>
        <stp>BDP|6170865598766945523</stp>
        <tr r="G101" s="16"/>
      </tp>
      <tp t="s">
        <v>#N/A Requesting Data...3233407065</v>
        <stp/>
        <stp>BDP|5999652751207956509</stp>
        <tr r="F53" s="16"/>
      </tp>
      <tp t="s">
        <v>#N/A Requesting Data...3616044640</v>
        <stp/>
        <stp>BDP|9323596299455628416</stp>
        <tr r="AF93" s="14"/>
      </tp>
      <tp t="s">
        <v>#N/A N/A</v>
        <stp/>
        <stp>BDH|2650775331591361378</stp>
        <tr r="AI33" s="14"/>
      </tp>
      <tp t="s">
        <v>#N/A Requesting Data...4020970990</v>
        <stp/>
        <stp>BDP|3915167486449531798</stp>
        <tr r="H39" s="14"/>
      </tp>
      <tp t="s">
        <v>#N/A Requesting Data...2774522615</v>
        <stp/>
        <stp>BDP|2670956482742488503</stp>
        <tr r="AR68" s="14"/>
      </tp>
      <tp t="s">
        <v>#N/A Requesting Data...3143810110</v>
        <stp/>
        <stp>BDP|5685135357387147265</stp>
        <tr r="AJ13" s="5"/>
        <tr r="AJ25" s="1"/>
        <tr r="AJ24" s="1"/>
        <tr r="AJ12" s="5"/>
        <tr r="AJ27" s="1"/>
        <tr r="AJ28" s="1"/>
        <tr r="AJ26" s="1"/>
      </tp>
      <tp t="s">
        <v>#N/A N/A</v>
        <stp/>
        <stp>BDP|4616124314363150342</stp>
        <tr r="T18" s="6"/>
      </tp>
      <tp t="s">
        <v>#N/A N/A</v>
        <stp/>
        <stp>BDP|6203334034163201126</stp>
        <tr r="R15" s="4"/>
      </tp>
      <tp t="s">
        <v>#N/A Requesting Data...2096464401</v>
        <stp/>
        <stp>BDP|3079201621293547414</stp>
        <tr r="AN105" s="14"/>
      </tp>
      <tp t="s">
        <v>#N/A Requesting Data...3543481600</v>
        <stp/>
        <stp>BDP|2994071678786601758</stp>
        <tr r="C61" s="16"/>
        <tr r="D63" s="14"/>
      </tp>
      <tp t="s">
        <v>#N/A Requesting Data...1549799764</v>
        <stp/>
        <stp>BDP|3293698972867617050</stp>
        <tr r="K103" s="14"/>
      </tp>
      <tp t="s">
        <v>#N/A Requesting Data...3856682253</v>
        <stp/>
        <stp>BDP|2488852384147935063</stp>
        <tr r="AF84" s="14"/>
      </tp>
      <tp t="s">
        <v>#N/A Requesting Data...2817656901</v>
        <stp/>
        <stp>BDP|5703763153602905018</stp>
        <tr r="AM46" s="14"/>
      </tp>
      <tp t="s">
        <v>#N/A N/A</v>
        <stp/>
        <stp>BDP|5624727624461984439</stp>
        <tr r="I91" s="16"/>
      </tp>
      <tp t="s">
        <v>#N/A Requesting Data...2911835500</v>
        <stp/>
        <stp>BDP|3544617474206305194</stp>
        <tr r="G81" s="14"/>
      </tp>
      <tp t="s">
        <v>#N/A Requesting Data...2040497625</v>
        <stp/>
        <stp>BDP|6175767621274578290</stp>
        <tr r="AN70" s="14"/>
      </tp>
      <tp t="s">
        <v>#N/A Requesting Data...3129176530</v>
        <stp/>
        <stp>BDP|5008336550676164081</stp>
        <tr r="G90" s="16"/>
      </tp>
      <tp t="s">
        <v>#N/A Requesting Data...2039161797</v>
        <stp/>
        <stp>BDP|2421228672263676189</stp>
        <tr r="C10" s="12"/>
      </tp>
      <tp t="s">
        <v>#N/A Requesting Data...2941408296</v>
        <stp/>
        <stp>BDP|6103593271696525761</stp>
        <tr r="AS56" s="14"/>
      </tp>
      <tp t="s">
        <v>#N/A N/A</v>
        <stp/>
        <stp>BDH|1952961356180070836</stp>
        <tr r="AE53" s="14"/>
      </tp>
      <tp t="s">
        <v>#N/A N/A</v>
        <stp/>
        <stp>BDH|3726601329550556214</stp>
        <tr r="AE34" s="14"/>
      </tp>
      <tp t="s">
        <v>#N/A Requesting Data...4012225364</v>
        <stp/>
        <stp>BDP|4005506824754889270</stp>
        <tr r="E54" s="16"/>
      </tp>
      <tp t="s">
        <v>#N/A N/A</v>
        <stp/>
        <stp>BDP|2042029549140852387</stp>
        <tr r="T11" s="6"/>
      </tp>
      <tp t="s">
        <v>#N/A Requesting Data...1051112542</v>
        <stp/>
        <stp>BDP|3939741235407004535</stp>
        <tr r="AR76" s="14"/>
      </tp>
      <tp t="s">
        <v>#N/A Requesting Data...1330329941</v>
        <stp/>
        <stp>BDP|4555527927654872231</stp>
        <tr r="F17" s="16"/>
      </tp>
      <tp t="s">
        <v>#N/A N/A</v>
        <stp/>
        <stp>BDP|4938208920942735355</stp>
        <tr r="AH56" s="14"/>
        <tr r="AH56" s="14"/>
      </tp>
      <tp t="s">
        <v>#N/A Requesting Data...2638513618</v>
        <stp/>
        <stp>BDP|8941551026688964282</stp>
        <tr r="AN71" s="14"/>
      </tp>
      <tp t="s">
        <v>#N/A Requesting Data...1082015252</v>
        <stp/>
        <stp>BDP|8282235550702897825</stp>
        <tr r="AS97" s="14"/>
      </tp>
      <tp t="s">
        <v>#N/A N/A</v>
        <stp/>
        <stp>BDH|9041883107223783738</stp>
        <tr r="AE85" s="14"/>
      </tp>
      <tp t="s">
        <v>#N/A Requesting Data...1143712420</v>
        <stp/>
        <stp>BDP|4931206151220713675</stp>
        <tr r="AH75" s="14"/>
      </tp>
      <tp t="s">
        <v>#N/A N/A</v>
        <stp/>
        <stp>BDP|7435426044490840221</stp>
        <tr r="I18" s="6"/>
      </tp>
      <tp t="s">
        <v>#N/A Requesting Data...1327573757</v>
        <stp/>
        <stp>BDP|1522280328602570685</stp>
        <tr r="AL94" s="14"/>
      </tp>
      <tp t="s">
        <v>#N/A N/A</v>
        <stp/>
        <stp>BDP|9079880658608040983</stp>
        <tr r="K14" s="16"/>
      </tp>
      <tp t="s">
        <v>#N/A N/A</v>
        <stp/>
        <stp>BDH|8694180849189959168</stp>
        <tr r="X25" s="7"/>
      </tp>
      <tp t="s">
        <v>#N/A Requesting Data...1045776514</v>
        <stp/>
        <stp>BDP|1814640507256569479</stp>
        <tr r="G84" s="14"/>
      </tp>
      <tp t="s">
        <v>#N/A N/A</v>
        <stp/>
        <stp>BDP|2647428432790711088</stp>
        <tr r="U22" s="1"/>
      </tp>
      <tp t="s">
        <v>#N/A N/A</v>
        <stp/>
        <stp>BDP|3878623020735539764</stp>
        <tr r="Z11" s="4"/>
      </tp>
      <tp t="s">
        <v>#N/A N/A</v>
        <stp/>
        <stp>BDH|7794781951153549325</stp>
        <tr r="X13" s="6"/>
      </tp>
      <tp t="s">
        <v>#N/A N/A</v>
        <stp/>
        <stp>BDP|2710626066620563788</stp>
        <tr r="K36" s="16"/>
        <tr r="K43" s="16"/>
      </tp>
      <tp t="s">
        <v>#N/A N/A</v>
        <stp/>
        <stp>BDP|5919161044440132549</stp>
        <tr r="D12" s="4"/>
      </tp>
      <tp t="s">
        <v>#N/A Requesting Data...2289667468</v>
        <stp/>
        <stp>BDP|2871962196504205345</stp>
        <tr r="AS19" s="14"/>
      </tp>
      <tp t="s">
        <v>#N/A N/A</v>
        <stp/>
        <stp>BDP|1056035586948357489</stp>
        <tr r="T47" s="14"/>
        <tr r="T47" s="14"/>
      </tp>
      <tp t="s">
        <v>#N/A Requesting Data...2408238352</v>
        <stp/>
        <stp>BDP|9122762499575295728</stp>
        <tr r="V17" s="14"/>
      </tp>
      <tp t="s">
        <v>#N/A Requesting Data...1244441786</v>
        <stp/>
        <stp>BDP|6334850590984166698</stp>
        <tr r="I70" s="14"/>
        <tr r="I70" s="14"/>
      </tp>
      <tp t="s">
        <v>#N/A N/A</v>
        <stp/>
        <stp>BDS|2464899880651247606</stp>
        <tr r="AI97" s="14"/>
        <tr r="AI97" s="14"/>
        <tr r="AI98" s="14"/>
        <tr r="AI98" s="14"/>
        <tr r="AI100" s="14"/>
        <tr r="AI100" s="14"/>
        <tr r="AI99" s="14"/>
        <tr r="AI99" s="14"/>
      </tp>
      <tp t="s">
        <v>#N/A Requesting Data...4037866340</v>
        <stp/>
        <stp>BDP|1577596452900368425</stp>
        <tr r="AE14" s="14"/>
      </tp>
      <tp t="s">
        <v>#N/A N/A</v>
        <stp/>
        <stp>BDP|4053448241300826121</stp>
        <tr r="K39" s="16"/>
        <tr r="K40" s="16"/>
        <tr r="K82" s="16"/>
      </tp>
      <tp t="s">
        <v>#N/A Requesting Data...1168633258</v>
        <stp/>
        <stp>BDP|8045202899855493327</stp>
        <tr r="D50" s="16"/>
        <tr r="E52" s="14"/>
      </tp>
      <tp t="s">
        <v>#N/A N/A</v>
        <stp/>
        <stp>BDP|8076859448307765658</stp>
        <tr r="Z12" s="4"/>
      </tp>
      <tp t="s">
        <v>#N/A Requesting Data...2755112312</v>
        <stp/>
        <stp>BDP|3781678852547972245</stp>
        <tr r="I42" s="14"/>
        <tr r="I42" s="14"/>
      </tp>
      <tp t="s">
        <v>#N/A Requesting Data...2678900899</v>
        <stp/>
        <stp>BDP|7969061842190679678</stp>
        <tr r="AJ21" s="1"/>
      </tp>
      <tp t="s">
        <v>#N/A Requesting Data...3218865115</v>
        <stp/>
        <stp>BDP|7035798535164922292</stp>
        <tr r="F95" s="16"/>
      </tp>
      <tp t="s">
        <v>#N/A Requesting Data...1224285920</v>
        <stp/>
        <stp>BDP|7962793558193681320</stp>
        <tr r="AS40" s="14"/>
      </tp>
      <tp t="s">
        <v>#N/A Requesting Data...2899284399</v>
        <stp/>
        <stp>BDP|8511283290581320729</stp>
        <tr r="AE21" s="14"/>
      </tp>
      <tp t="s">
        <v>#N/A N/A</v>
        <stp/>
        <stp>BDP|3033073904186781087</stp>
        <tr r="G13" s="7"/>
      </tp>
      <tp t="s">
        <v>#N/A N/A</v>
        <stp/>
        <stp>BDP|7006357497778697088</stp>
        <tr r="K16" s="16"/>
        <tr r="K17" s="16"/>
      </tp>
      <tp t="s">
        <v>#N/A Requesting Data...3051799094</v>
        <stp/>
        <stp>BDP|6395209911168736896</stp>
        <tr r="AT98" s="14"/>
      </tp>
      <tp t="s">
        <v>#N/A N/A</v>
        <stp/>
        <stp>BDP|1929136104312724751</stp>
        <tr r="T24" s="14"/>
        <tr r="T24" s="14"/>
      </tp>
      <tp t="s">
        <v>#N/A N/A</v>
        <stp/>
        <stp>BDP|1500080100016707267</stp>
        <tr r="T20" s="7"/>
      </tp>
      <tp t="s">
        <v>#N/A N/A</v>
        <stp/>
        <stp>BDH|6791413716661597792</stp>
        <tr r="AN19" s="1"/>
      </tp>
      <tp t="s">
        <v>#N/A Requesting Data...1621039977</v>
        <stp/>
        <stp>BDP|5369548400611258486</stp>
        <tr r="AR17" s="14"/>
      </tp>
      <tp t="s">
        <v>#N/A N/A</v>
        <stp/>
        <stp>BDP|3082090400712622427</stp>
        <tr r="AA13" s="4"/>
      </tp>
      <tp t="s">
        <v>#N/A Requesting Data...1824812719</v>
        <stp/>
        <stp>BDP|6603127553906861125</stp>
        <tr r="AD88" s="14"/>
      </tp>
      <tp t="s">
        <v>#N/A Requesting Data...3021542702</v>
        <stp/>
        <stp>BDP|6990519264891326127</stp>
        <tr r="AP20" s="14"/>
      </tp>
      <tp t="s">
        <v>#N/A Requesting Data...2317769496</v>
        <stp/>
        <stp>BDP|7909619943150246040</stp>
        <tr r="AB16" s="14"/>
        <tr r="AB16" s="14"/>
      </tp>
      <tp t="s">
        <v>#N/A N/A</v>
        <stp/>
        <stp>BDP|4875610664297305635</stp>
        <tr r="W25" s="6"/>
      </tp>
      <tp t="s">
        <v>#N/A Requesting Data...1285256569</v>
        <stp/>
        <stp>BDP|1544680022628278806</stp>
        <tr r="AK23" s="14"/>
      </tp>
      <tp t="s">
        <v>#N/A N/A</v>
        <stp/>
        <stp>BDP|2372385642469504914</stp>
        <tr r="T74" s="14"/>
        <tr r="T74" s="14"/>
      </tp>
      <tp t="s">
        <v>#N/A N/A</v>
        <stp/>
        <stp>BDP|7421339159854110025</stp>
        <tr r="E11" s="7"/>
      </tp>
      <tp t="s">
        <v>#N/A N/A</v>
        <stp/>
        <stp>BDP|2670564237990393195</stp>
        <tr r="W12" s="6"/>
      </tp>
      <tp t="s">
        <v>#N/A N/A</v>
        <stp/>
        <stp>BDH|1655110710174212087</stp>
        <tr r="X21" s="6"/>
      </tp>
      <tp t="s">
        <v>#N/A Requesting Data...1859529926</v>
        <stp/>
        <stp>BDP|1281670727601646163</stp>
        <tr r="AQ25" s="14"/>
      </tp>
      <tp t="s">
        <v>#N/A Requesting Data...3287627368</v>
        <stp/>
        <stp>BDP|1387689933011380090</stp>
        <tr r="AF105" s="14"/>
      </tp>
      <tp t="s">
        <v>#N/A Requesting Data...2493398846</v>
        <stp/>
        <stp>BDP|5449167205126038759</stp>
        <tr r="AQ71" s="14"/>
      </tp>
      <tp t="s">
        <v>#N/A N/A</v>
        <stp/>
        <stp>BDP|1364255343855246754</stp>
        <tr r="I14" s="4"/>
      </tp>
      <tp t="s">
        <v>#N/A Requesting Data...2941091893</v>
        <stp/>
        <stp>BDP|5561399011692734084</stp>
        <tr r="AS11" s="14"/>
      </tp>
      <tp t="s">
        <v>#N/A Requesting Data...2049911662</v>
        <stp/>
        <stp>BDP|3065827695270715722</stp>
        <tr r="AL58" s="14"/>
      </tp>
      <tp t="s">
        <v>#N/A Requesting Data...1594129734</v>
        <stp/>
        <stp>BDP|2404242596694324876</stp>
        <tr r="AU74" s="14"/>
      </tp>
      <tp t="s">
        <v>#N/A N/A</v>
        <stp/>
        <stp>BDP|3108975087074521367</stp>
        <tr r="F12" s="1"/>
      </tp>
      <tp t="s">
        <v>#N/A Requesting Data...930432081</v>
        <stp/>
        <stp>BDP|1141057645513679352</stp>
        <tr r="AM73" s="14"/>
      </tp>
      <tp t="s">
        <v>#N/A N/A</v>
        <stp/>
        <stp>BDP|2353386504614518080</stp>
        <tr r="F22" s="6"/>
      </tp>
      <tp t="s">
        <v>#N/A Requesting Data...1960769935</v>
        <stp/>
        <stp>BDP|5146053574811302604</stp>
        <tr r="AQ88" s="14"/>
      </tp>
      <tp t="s">
        <v>#N/A Requesting Data...1936400103</v>
        <stp/>
        <stp>BDP|5993990125168628301</stp>
        <tr r="F79" s="16"/>
      </tp>
      <tp t="s">
        <v>#N/A Requesting Data...2986897016</v>
        <stp/>
        <stp>BDP|2940280347671448018</stp>
        <tr r="H15" s="14"/>
      </tp>
      <tp t="s">
        <v>#N/A N/A</v>
        <stp/>
        <stp>BDP|3673630235332339106</stp>
        <tr r="K12" s="4"/>
      </tp>
      <tp t="s">
        <v>#N/A Requesting Data...1952249562</v>
        <stp/>
        <stp>BDP|3211591575360416491</stp>
        <tr r="AF38" s="14"/>
      </tp>
      <tp t="s">
        <v>#N/A Requesting Data...2381212654</v>
        <stp/>
        <stp>BDP|5183176803796185773</stp>
        <tr r="H19" s="1"/>
      </tp>
      <tp t="s">
        <v>#N/A N/A</v>
        <stp/>
        <stp>BDP|7409264302737325705</stp>
        <tr r="T98" s="14"/>
        <tr r="T98" s="14"/>
      </tp>
      <tp t="s">
        <v>#N/A Requesting Data...1966760760</v>
        <stp/>
        <stp>BDP|8776890418850095451</stp>
        <tr r="AN52" s="14"/>
      </tp>
      <tp t="s">
        <v>#N/A Requesting Data...3749827632</v>
        <stp/>
        <stp>BDP|4732033626607009411</stp>
        <tr r="AT109" s="14"/>
      </tp>
      <tp t="s">
        <v>#N/A N/A</v>
        <stp/>
        <stp>BDP|7700231275297670043</stp>
        <tr r="J94" s="14"/>
        <tr r="J94" s="14"/>
      </tp>
      <tp t="s">
        <v>#N/A N/A</v>
        <stp/>
        <stp>BDP|1236177175025061734</stp>
        <tr r="J66" s="16"/>
      </tp>
      <tp t="s">
        <v>#N/A Requesting Data...2969341488</v>
        <stp/>
        <stp>BDP|5289113985658521136</stp>
        <tr r="F109" s="14"/>
        <tr r="F109" s="14"/>
        <tr r="H107" s="16"/>
        <tr r="H107" s="16"/>
      </tp>
      <tp t="s">
        <v>#N/A Requesting Data...1509611315</v>
        <stp/>
        <stp>BDP|4217283839894052434</stp>
        <tr r="V42" s="14"/>
      </tp>
      <tp t="s">
        <v>#N/A Requesting Data...1004053079</v>
        <stp/>
        <stp>BDP|8081876886295374826</stp>
        <tr r="C80" s="16"/>
        <tr r="D82" s="14"/>
      </tp>
      <tp t="s">
        <v>#N/A N/A</v>
        <stp/>
        <stp>BDP|9587381627309935435</stp>
        <tr r="AH41" s="14"/>
        <tr r="AH41" s="14"/>
      </tp>
      <tp t="s">
        <v>#N/A Requesting Data...1038703636</v>
        <stp/>
        <stp>BDP|2145617213910004035</stp>
        <tr r="H79" s="16"/>
        <tr r="H79" s="16"/>
        <tr r="F81" s="14"/>
        <tr r="F81" s="14"/>
      </tp>
      <tp t="s">
        <v>#N/A Requesting Data...3079131951</v>
        <stp/>
        <stp>BDP|7419203061740769622</stp>
        <tr r="AE63" s="14"/>
      </tp>
      <tp t="s">
        <v>#N/A Requesting Data...2089439567</v>
        <stp/>
        <stp>BDP|4065486946364838560</stp>
        <tr r="AN102" s="14"/>
      </tp>
      <tp t="s">
        <v>#N/A Requesting Data...1788257654</v>
        <stp/>
        <stp>BDP|2269103987848504608</stp>
        <tr r="F42" s="14"/>
        <tr r="F42" s="14"/>
        <tr r="H40" s="16"/>
        <tr r="H40" s="16"/>
      </tp>
      <tp t="s">
        <v>#N/A Requesting Data...3408088612</v>
        <stp/>
        <stp>BDP|8551986998468415513</stp>
        <tr r="AP30" s="14"/>
      </tp>
      <tp t="s">
        <v>#N/A Requesting Data...3958139361</v>
        <stp/>
        <stp>BDP|6512594222773816765</stp>
        <tr r="AT85" s="14"/>
      </tp>
      <tp t="s">
        <v>#N/A N/A</v>
        <stp/>
        <stp>BDS|6206556664632187230</stp>
        <tr r="B134" s="12"/>
      </tp>
      <tp t="s">
        <v>#N/A N/A</v>
        <stp/>
        <stp>BDP|5038081689529297124</stp>
        <tr r="S15" s="6"/>
      </tp>
      <tp t="s">
        <v>#N/A N/A</v>
        <stp/>
        <stp>BDP|7465313640923464606</stp>
        <tr r="B6" s="6"/>
      </tp>
      <tp t="s">
        <v>#N/A N/A</v>
        <stp/>
        <stp>BDP|1399824152899416060</stp>
        <tr r="AH55" s="14"/>
        <tr r="AH55" s="14"/>
      </tp>
      <tp t="s">
        <v>#N/A Requesting Data...1285082472</v>
        <stp/>
        <stp>BDP|5578741455132770024</stp>
        <tr r="AU41" s="14"/>
      </tp>
      <tp t="s">
        <v>#N/A N/A</v>
        <stp/>
        <stp>BDP|4460690154326754488</stp>
        <tr r="I27" s="16"/>
        <tr r="I28" s="16"/>
      </tp>
      <tp t="s">
        <v>#N/A Requesting Data...1373287385</v>
        <stp/>
        <stp>BDP|3208261451695586467</stp>
        <tr r="H106" s="14"/>
      </tp>
      <tp t="s">
        <v>#N/A Requesting Data...2363343854</v>
        <stp/>
        <stp>BDP|6808552689116393810</stp>
        <tr r="G95" s="14"/>
      </tp>
      <tp t="s">
        <v>#N/A Requesting Data...3044259354</v>
        <stp/>
        <stp>BDP|5080054011511308014</stp>
        <tr r="AE29" s="14"/>
      </tp>
      <tp t="s">
        <v>#N/A Requesting Data...1796220216</v>
        <stp/>
        <stp>BDP|7016783532357532191</stp>
        <tr r="AF63" s="14"/>
      </tp>
      <tp t="s">
        <v>#N/A Requesting Data...2223008896</v>
        <stp/>
        <stp>BDP|2285579253316118111</stp>
        <tr r="G45" s="14"/>
      </tp>
      <tp t="s">
        <v>#N/A N/A</v>
        <stp/>
        <stp>BDP|6215915669868419494</stp>
        <tr r="S13" s="4"/>
      </tp>
      <tp t="s">
        <v>#N/A Requesting Data...3943111066</v>
        <stp/>
        <stp>BDP|6863698537242869497</stp>
        <tr r="AO12" s="14"/>
        <tr r="AO12" s="14"/>
      </tp>
      <tp t="s">
        <v>#N/A Requesting Data...4083177092</v>
        <stp/>
        <stp>BDP|1948047154990601184</stp>
        <tr r="D18" s="16"/>
        <tr r="E20" s="14"/>
      </tp>
      <tp t="s">
        <v>#N/A N/A</v>
        <stp/>
        <stp>BDP|4645256266727759250</stp>
        <tr r="T35" s="14"/>
        <tr r="T35" s="14"/>
      </tp>
      <tp t="s">
        <v>#N/A N/A</v>
        <stp/>
        <stp>BDP|9314373923548555551</stp>
        <tr r="T24" s="6"/>
      </tp>
      <tp t="s">
        <v>#N/A Requesting Data...1306178869</v>
        <stp/>
        <stp>BDP|4392016815429905998</stp>
        <tr r="AE67" s="14"/>
      </tp>
      <tp t="s">
        <v>#N/A Requesting Data...2781326520</v>
        <stp/>
        <stp>BDP|1492153872274393674</stp>
        <tr r="AM80" s="14"/>
      </tp>
      <tp t="s">
        <v>#N/A Requesting Data...3352083982</v>
        <stp/>
        <stp>BDP|9183577134838509202</stp>
        <tr r="AK61" s="14"/>
      </tp>
      <tp t="s">
        <v>#N/A N/A</v>
        <stp/>
        <stp>BDP|6322510925307102314</stp>
        <tr r="E12" s="6"/>
      </tp>
      <tp t="s">
        <v>#N/A N/A</v>
        <stp/>
        <stp>BDP|8588927529635882328</stp>
        <tr r="S14" s="6"/>
      </tp>
      <tp t="s">
        <v>#N/A N/A</v>
        <stp/>
        <stp>BDP|5823855922883339984</stp>
        <tr r="S20" s="1"/>
      </tp>
      <tp t="s">
        <v>#N/A Requesting Data...4037095221</v>
        <stp/>
        <stp>BDP|4210237735264179419</stp>
        <tr r="H108" s="14"/>
      </tp>
      <tp t="s">
        <v>#N/A Requesting Data...4174009682</v>
        <stp/>
        <stp>BDP|9881866263046877417</stp>
        <tr r="AE66" s="14"/>
      </tp>
      <tp t="s">
        <v>#N/A Requesting Data...1446486332</v>
        <stp/>
        <stp>BDP|1541671245071562762</stp>
        <tr r="AS104" s="14"/>
      </tp>
      <tp t="s">
        <v>#N/A Requesting Data...3325769046</v>
        <stp/>
        <stp>BDP|8127535196317820687</stp>
        <tr r="AM81" s="14"/>
      </tp>
      <tp t="s">
        <v>#N/A Requesting Data...2426417238</v>
        <stp/>
        <stp>BDP|7719261395359371035</stp>
        <tr r="D43" s="16"/>
        <tr r="E45" s="14"/>
      </tp>
      <tp t="s">
        <v>#N/A Requesting Data...1841562383</v>
        <stp/>
        <stp>BDP|7915606525083865501</stp>
        <tr r="AU27" s="14"/>
      </tp>
      <tp t="s">
        <v>#N/A N/A</v>
        <stp/>
        <stp>BDP|2076400521335774426</stp>
        <tr r="AC13" s="4"/>
      </tp>
      <tp t="s">
        <v>#N/A Requesting Data...2325648389</v>
        <stp/>
        <stp>BDP|2213542535780362147</stp>
        <tr r="H11" s="1"/>
      </tp>
      <tp t="s">
        <v>#N/A N/A</v>
        <stp/>
        <stp>BDP|3390440242232991485</stp>
        <tr r="G11" s="7"/>
      </tp>
      <tp t="s">
        <v>#N/A Requesting Data...2044226541</v>
        <stp/>
        <stp>BDP|9582811877706580520</stp>
        <tr r="G31" s="14"/>
      </tp>
      <tp t="s">
        <v>#N/A Requesting Data...4024077057</v>
        <stp/>
        <stp>BDP|1669667933841251045</stp>
        <tr r="AQ53" s="14"/>
      </tp>
      <tp t="s">
        <v>#N/A Requesting Data...4189964474</v>
        <stp/>
        <stp>BDP|9168406190998500910</stp>
        <tr r="AP45" s="14"/>
      </tp>
      <tp t="s">
        <v>#N/A Requesting Data...1416270115</v>
        <stp/>
        <stp>BDP|1008577735965618716</stp>
        <tr r="F54" s="16"/>
      </tp>
      <tp t="s">
        <v>#N/A N/A</v>
        <stp/>
        <stp>BDP|3830457551392988500</stp>
        <tr r="U16" s="6"/>
      </tp>
      <tp t="s">
        <v>#N/A Requesting Data...2860236282</v>
        <stp/>
        <stp>BDP|8341158937757639827</stp>
        <tr r="AQ92" s="14"/>
      </tp>
      <tp t="s">
        <v>#N/A N/A</v>
        <stp/>
        <stp>BDP|5779428055192349365</stp>
        <tr r="I20" s="6"/>
      </tp>
      <tp t="s">
        <v>#N/A Requesting Data...1138137016</v>
        <stp/>
        <stp>BDP|6724890190886239498</stp>
        <tr r="AD43" s="14"/>
      </tp>
      <tp t="s">
        <v>#N/A Requesting Data...2784749544</v>
        <stp/>
        <stp>BDP|4907067278260210604</stp>
        <tr r="AE100" s="14"/>
      </tp>
      <tp t="s">
        <v>#N/A Requesting Data...3929525575</v>
        <stp/>
        <stp>BDP|9351423401631458916</stp>
        <tr r="D107" s="12"/>
      </tp>
      <tp t="s">
        <v>#N/A Requesting Data...2560963853</v>
        <stp/>
        <stp>BDP|9889684767714401868</stp>
        <tr r="AR33" s="14"/>
      </tp>
      <tp t="s">
        <v>#N/A N/A</v>
        <stp/>
        <stp>BDP|5177161475455123365</stp>
        <tr r="AJ12" s="1"/>
      </tp>
      <tp t="s">
        <v>#N/A N/A</v>
        <stp/>
        <stp>BDP|5911601018777147056</stp>
        <tr r="F13" s="1"/>
      </tp>
      <tp t="s">
        <v>#N/A Requesting Data...945976490</v>
        <stp/>
        <stp>BDP|5155800867548752643</stp>
        <tr r="AM53" s="14"/>
      </tp>
    </main>
    <main first="bofaddin.rtdserver">
      <tp t="s">
        <v>#N/A Requesting Data...2414447683</v>
        <stp/>
        <stp>BDP|3992564844721541545</stp>
        <tr r="AK77" s="14"/>
      </tp>
      <tp t="s">
        <v>#N/A Requesting Data...1248631758</v>
        <stp/>
        <stp>BDP|6809445214163281602</stp>
        <tr r="AS53" s="14"/>
      </tp>
      <tp t="s">
        <v>#N/A Requesting Data...3768885799</v>
        <stp/>
        <stp>BDP|6982168081748455101</stp>
        <tr r="AS103" s="14"/>
      </tp>
      <tp t="s">
        <v>#N/A Requesting Data...1478973170</v>
        <stp/>
        <stp>BDP|4838531455880580215</stp>
        <tr r="C58" s="16"/>
        <tr r="D60" s="14"/>
      </tp>
      <tp t="s">
        <v>#N/A Requesting Data...3332063226</v>
        <stp/>
        <stp>BDP|2876332556102085060</stp>
        <tr r="F11" s="5"/>
      </tp>
      <tp t="s">
        <v>#N/A N/A</v>
        <stp/>
        <stp>BDP|2216737899409140322</stp>
        <tr r="D15" s="7"/>
      </tp>
      <tp t="s">
        <v>#N/A N/A</v>
        <stp/>
        <stp>BDP|1953314561642007021</stp>
        <tr r="AH90" s="14"/>
        <tr r="AH90" s="14"/>
        <tr r="AH91" s="14"/>
        <tr r="AH91" s="14"/>
      </tp>
      <tp t="s">
        <v>#N/A Requesting Data...4219197330</v>
        <stp/>
        <stp>BDP|1025703175763884468</stp>
        <tr r="AM86" s="14"/>
      </tp>
      <tp t="s">
        <v>#N/A Requesting Data...2968831297</v>
        <stp/>
        <stp>BDP|8576967878735026503</stp>
        <tr r="AH57" s="14"/>
      </tp>
      <tp t="s">
        <v>#N/A Requesting Data...2139663905</v>
        <stp/>
        <stp>BDP|9107194133274377909</stp>
        <tr r="AK80" s="14"/>
      </tp>
      <tp t="s">
        <v>#N/A Requesting Data...2530066906</v>
        <stp/>
        <stp>BDP|7894265815373467171</stp>
        <tr r="AM93" s="14"/>
      </tp>
      <tp t="s">
        <v>#N/A N/A</v>
        <stp/>
        <stp>BDP|6224043865197818139</stp>
        <tr r="U11" s="1"/>
      </tp>
      <tp t="s">
        <v>#N/A Requesting Data...2429448609</v>
        <stp/>
        <stp>BDP|1495937286503943500</stp>
        <tr r="G57" s="12"/>
      </tp>
      <tp t="s">
        <v>#N/A N/A</v>
        <stp/>
        <stp>BDP|1044710838303117006</stp>
        <tr r="Z13" s="4"/>
      </tp>
      <tp t="s">
        <v>#N/A Requesting Data...3167068579</v>
        <stp/>
        <stp>BDP|7805106540273048702</stp>
        <tr r="K11" s="14"/>
      </tp>
      <tp t="s">
        <v>#N/A Requesting Data...3107941804</v>
        <stp/>
        <stp>BDP|4890889720271819906</stp>
        <tr r="D92" s="14"/>
        <tr r="C90" s="16"/>
      </tp>
      <tp t="s">
        <v>#N/A N/A</v>
        <stp/>
        <stp>BDP|4459957364549593488</stp>
        <tr r="D13" s="4"/>
      </tp>
      <tp t="s">
        <v>#N/A Requesting Data...1416024245</v>
        <stp/>
        <stp>BDP|7956728322830774479</stp>
        <tr r="H22" s="14"/>
      </tp>
      <tp t="s">
        <v>#N/A Requesting Data...2597242239</v>
        <stp/>
        <stp>BDP|8337872067398380890</stp>
        <tr r="AH41" s="14"/>
      </tp>
      <tp t="s">
        <v>#N/A Requesting Data...3815978699</v>
        <stp/>
        <stp>BDP|7503308941912456498</stp>
        <tr r="AT88" s="14"/>
      </tp>
      <tp t="s">
        <v>#N/A N/A</v>
        <stp/>
        <stp>BDP|4592909496036984439</stp>
        <tr r="Y12" s="4"/>
      </tp>
      <tp t="s">
        <v>#N/A Requesting Data...3035966543</v>
        <stp/>
        <stp>BDP|3914941863199310343</stp>
        <tr r="G71" s="16"/>
      </tp>
      <tp t="s">
        <v>#N/A Requesting Data...2793763973</v>
        <stp/>
        <stp>BDP|5200456768470598139</stp>
        <tr r="F54" s="14"/>
        <tr r="F54" s="14"/>
        <tr r="H52" s="16"/>
        <tr r="H52" s="16"/>
      </tp>
      <tp t="s">
        <v>#N/A N/A</v>
        <stp/>
        <stp>BDH|7836560058344866575</stp>
        <tr r="AE94" s="14"/>
      </tp>
      <tp t="s">
        <v>#N/A N/A</v>
        <stp/>
        <stp>BDH|7745274004384875752</stp>
        <tr r="AE16" s="14"/>
      </tp>
      <tp t="s">
        <v>#N/A Requesting Data...3192311485</v>
        <stp/>
        <stp>BDP|6093432120175536380</stp>
        <tr r="C97" s="16"/>
        <tr r="D99" s="14"/>
      </tp>
      <tp t="s">
        <v>#N/A N/A</v>
        <stp/>
        <stp>BDP|5285767228396746050</stp>
        <tr r="J76" s="16"/>
      </tp>
      <tp t="s">
        <v>#N/A Requesting Data...3829385715</v>
        <stp/>
        <stp>BDP|2175400645780380490</stp>
        <tr r="D22" s="1"/>
      </tp>
      <tp t="s">
        <v>#N/A Requesting Data...3332521780</v>
        <stp/>
        <stp>BDP|1425395536510690730</stp>
        <tr r="AP50" s="14"/>
      </tp>
      <tp t="s">
        <v>#N/A Requesting Data...4020315245</v>
        <stp/>
        <stp>BDP|1761202363027262489</stp>
        <tr r="AR48" s="14"/>
      </tp>
      <tp t="s">
        <v>#N/A Requesting Data...4105787434</v>
        <stp/>
        <stp>BDP|5892406231164130061</stp>
        <tr r="D70" s="12"/>
      </tp>
      <tp t="s">
        <v>#N/A Requesting Data...1556760493</v>
        <stp/>
        <stp>BDP|2833509626397150410</stp>
        <tr r="D90" s="12"/>
      </tp>
      <tp t="s">
        <v>#N/A Requesting Data...2584850102</v>
        <stp/>
        <stp>BDP|6308759340187187490</stp>
        <tr r="I75" s="14"/>
        <tr r="I75" s="14"/>
      </tp>
      <tp t="s">
        <v>#N/A Requesting Data...1181153527</v>
        <stp/>
        <stp>BDP|3798641118663723128</stp>
        <tr r="H22" s="1"/>
      </tp>
      <tp t="s">
        <v>#N/A N/A</v>
        <stp/>
        <stp>BDH|8358069551599326291</stp>
        <tr r="AE41" s="14"/>
      </tp>
      <tp t="s">
        <v>#N/A Requesting Data...2562507220</v>
        <stp/>
        <stp>BDP|2552929514159945550</stp>
        <tr r="AD61" s="14"/>
      </tp>
      <tp t="s">
        <v>#N/A Requesting Data...1663612925</v>
        <stp/>
        <stp>BDP|6348085974093485447</stp>
        <tr r="AN49" s="14"/>
      </tp>
      <tp t="s">
        <v>#N/A Requesting Data...1830703516</v>
        <stp/>
        <stp>BDP|7714500009430813496</stp>
        <tr r="AP107" s="14"/>
      </tp>
      <tp t="s">
        <v>#N/A Requesting Data...1840516937</v>
        <stp/>
        <stp>BDP|1459364047070929031</stp>
        <tr r="AT46" s="14"/>
      </tp>
      <tp t="s">
        <v>#N/A Requesting Data...2315980914</v>
        <stp/>
        <stp>BDP|9161443812699838305</stp>
        <tr r="AM38" s="14"/>
      </tp>
      <tp t="s">
        <v>#N/A Requesting Data...2360378287</v>
        <stp/>
        <stp>BDP|4925013776190150500</stp>
        <tr r="V14" s="14"/>
      </tp>
      <tp t="s">
        <v>#N/A Requesting Data...3958715660</v>
        <stp/>
        <stp>BDP|5867707445555661578</stp>
        <tr r="G108" s="16"/>
      </tp>
      <tp t="s">
        <v>#N/A Requesting Data...3429310875</v>
        <stp/>
        <stp>BDP|9536016458643488946</stp>
        <tr r="H19" s="14"/>
      </tp>
      <tp t="s">
        <v>#N/A Requesting Data...1931389215</v>
        <stp/>
        <stp>BDP|6497877696294978507</stp>
        <tr r="AN20" s="14"/>
      </tp>
      <tp t="s">
        <v>#N/A Requesting Data...4178568550</v>
        <stp/>
        <stp>BDP|7733338274255585090</stp>
        <tr r="G40" s="16"/>
      </tp>
      <tp t="s">
        <v>#N/A Requesting Data...1569848683</v>
        <stp/>
        <stp>BDP|3992630019686885477</stp>
        <tr r="G52" s="16"/>
      </tp>
      <tp t="s">
        <v>#N/A Requesting Data...1190379918</v>
        <stp/>
        <stp>BDP|7658976028119333361</stp>
        <tr r="H40" s="14"/>
      </tp>
      <tp t="s">
        <v>#N/A N/A</v>
        <stp/>
        <stp>BDP|4570673302405418185</stp>
        <tr r="J33" s="14"/>
      </tp>
      <tp t="s">
        <v>#N/A Requesting Data...1812284428</v>
        <stp/>
        <stp>BDP|4359902666754941903</stp>
        <tr r="AT75" s="14"/>
      </tp>
      <tp t="s">
        <v>#N/A Requesting Data...1481750014</v>
        <stp/>
        <stp>BDP|2957924581992200750</stp>
        <tr r="G35" s="14"/>
      </tp>
      <tp t="s">
        <v>#N/A Requesting Data...3604209871</v>
        <stp/>
        <stp>BDP|6317741123666812318</stp>
        <tr r="G46" s="14"/>
      </tp>
      <tp t="s">
        <v>#N/A Requesting Data...3582569421</v>
        <stp/>
        <stp>BDP|1784726244655404186</stp>
        <tr r="C18" s="14"/>
      </tp>
      <tp t="s">
        <v>#N/A N/A</v>
        <stp/>
        <stp>BDP|4433456791196978940</stp>
        <tr r="Z20" s="1"/>
      </tp>
      <tp t="s">
        <v>#N/A N/A</v>
        <stp/>
        <stp>BDH|9560388876193054863</stp>
        <tr r="AE81" s="14"/>
      </tp>
      <tp t="s">
        <v>#N/A N/A</v>
        <stp/>
        <stp>BDP|7373078783240038955</stp>
        <tr r="I22" s="7"/>
      </tp>
      <tp t="s">
        <v>#N/A Requesting Data...1787133732</v>
        <stp/>
        <stp>BDP|2336858384501034507</stp>
        <tr r="AH36" s="14"/>
      </tp>
      <tp t="s">
        <v>#N/A Requesting Data...2240777308</v>
        <stp/>
        <stp>BDP|6408029644936190213</stp>
        <tr r="I69" s="14"/>
        <tr r="I69" s="14"/>
      </tp>
      <tp t="s">
        <v>#N/A N/A</v>
        <stp/>
        <stp>BDP|8561606882249394961</stp>
        <tr r="E22" s="6"/>
      </tp>
      <tp t="s">
        <v>#N/A Requesting Data...4202472175</v>
        <stp/>
        <stp>BDP|8021425596956322552</stp>
        <tr r="H107" s="14"/>
      </tp>
      <tp t="s">
        <v>#N/A Requesting Data...1119914681</v>
        <stp/>
        <stp>BDP|3669559279812059583</stp>
        <tr r="AM95" s="14"/>
      </tp>
      <tp t="s">
        <v>#N/A Requesting Data...2974751081</v>
        <stp/>
        <stp>BDP|5727371020586160431</stp>
        <tr r="C53" s="16"/>
        <tr r="D55" s="14"/>
      </tp>
      <tp t="s">
        <v>#N/A N/A</v>
        <stp/>
        <stp>BDP|5043655897318902492</stp>
        <tr r="E18" s="7"/>
      </tp>
      <tp t="s">
        <v>#N/A Requesting Data...2443935737</v>
        <stp/>
        <stp>BDP|2332132575721411332</stp>
        <tr r="C89" s="12"/>
      </tp>
      <tp t="s">
        <v>#N/A Requesting Data...3067512615</v>
        <stp/>
        <stp>BDP|5803536597556861960</stp>
        <tr r="H21" s="1"/>
      </tp>
      <tp t="s">
        <v>#N/A N/A</v>
        <stp/>
        <stp>BDH|6018404740120074020</stp>
        <tr r="AI62" s="14"/>
        <tr r="AI61" s="14"/>
        <tr r="AI67" s="14"/>
      </tp>
      <tp t="s">
        <v>#N/A Requesting Data...1307846931</v>
        <stp/>
        <stp>BDP|8073430278105180897</stp>
        <tr r="G71" s="14"/>
      </tp>
      <tp t="s">
        <v>#N/A N/A</v>
        <stp/>
        <stp>BDP|7012236325525383460</stp>
        <tr r="D25" s="7"/>
      </tp>
      <tp t="s">
        <v>#N/A N/A</v>
        <stp/>
        <stp>BDP|3583945502974096801</stp>
        <tr r="W19" s="6"/>
      </tp>
      <tp t="s">
        <v>#N/A Requesting Data...1349451639</v>
        <stp/>
        <stp>BDP|9509993738897528225</stp>
        <tr r="H77" s="16"/>
        <tr r="H77" s="16"/>
        <tr r="F79" s="14"/>
        <tr r="F79" s="14"/>
      </tp>
      <tp t="s">
        <v>#N/A Requesting Data...4048123821</v>
        <stp/>
        <stp>BDP|1986547530563634287</stp>
        <tr r="AH90" s="14"/>
        <tr r="AH91" s="14"/>
      </tp>
      <tp t="s">
        <v>#N/A Requesting Data...2706328749</v>
        <stp/>
        <stp>BDP|1058882912236038893</stp>
        <tr r="AH40" s="14"/>
      </tp>
      <tp t="s">
        <v>#N/A Requesting Data...1560900703</v>
        <stp/>
        <stp>BDP|9873512508003002922</stp>
        <tr r="AP87" s="14"/>
      </tp>
      <tp t="s">
        <v>#N/A Requesting Data...2681283857</v>
        <stp/>
        <stp>BDP|5933773222667615190</stp>
        <tr r="AT84" s="14"/>
      </tp>
      <tp t="s">
        <v>#N/A Requesting Data...2959665744</v>
        <stp/>
        <stp>BDP|7627241157384170270</stp>
        <tr r="AT93" s="14"/>
      </tp>
      <tp t="s">
        <v>#N/A N/A</v>
        <stp/>
        <stp>BDP|3349284249376857590</stp>
        <tr r="AH102" s="14"/>
        <tr r="AH102" s="14"/>
      </tp>
      <tp t="s">
        <v>#N/A N/A</v>
        <stp/>
        <stp>BDH|6721680061824963445</stp>
        <tr r="W25" s="7"/>
      </tp>
      <tp t="s">
        <v>#N/A Requesting Data...2660527443</v>
        <stp/>
        <stp>BDP|3599776022178568852</stp>
        <tr r="G99" s="14"/>
      </tp>
      <tp t="s">
        <v>#N/A N/A</v>
        <stp/>
        <stp>BDP|7765203347934807386</stp>
        <tr r="T84" s="14"/>
        <tr r="T84" s="14"/>
      </tp>
      <tp t="s">
        <v>#N/A Requesting Data...1389915689</v>
        <stp/>
        <stp>BDP|3390123259973085284</stp>
        <tr r="K80" s="14"/>
      </tp>
      <tp t="s">
        <v>#N/A Requesting Data...1955554746</v>
        <stp/>
        <stp>BDP|5795417973526446610</stp>
        <tr r="AN83" s="14"/>
      </tp>
      <tp t="s">
        <v>#N/A N/A</v>
        <stp/>
        <stp>BDP|7582907666499291711</stp>
        <tr r="G12" s="1"/>
      </tp>
      <tp t="s">
        <v>#N/A N/A</v>
        <stp/>
        <stp>BDP|1299524259514993304</stp>
        <tr r="F18" s="7"/>
      </tp>
      <tp t="s">
        <v>#N/A N/A</v>
        <stp/>
        <stp>BDH|2000860461378475237</stp>
        <tr r="AE12" s="4"/>
      </tp>
      <tp t="s">
        <v>#N/A Requesting Data...3752383353</v>
        <stp/>
        <stp>BDP|2402560490051285915</stp>
        <tr r="E21" s="16"/>
      </tp>
      <tp t="s">
        <v>#N/A Requesting Data...1502343269</v>
        <stp/>
        <stp>BDP|2583021634671387616</stp>
        <tr r="AK60" s="14"/>
      </tp>
      <tp t="s">
        <v>#N/A Requesting Data...1247422536</v>
        <stp/>
        <stp>BDP|4746441845541018370</stp>
        <tr r="AM109" s="14"/>
      </tp>
      <tp t="s">
        <v>#N/A N/A</v>
        <stp/>
        <stp>BDS|5105181408186038400</stp>
        <tr r="AI75" s="14"/>
        <tr r="AI75" s="14"/>
        <tr r="AI77" s="14"/>
        <tr r="AI77" s="14"/>
      </tp>
      <tp t="s">
        <v>#N/A Requesting Data...3498174006</v>
        <stp/>
        <stp>BDP|8325974058455947745</stp>
        <tr r="H14" s="16"/>
        <tr r="H14" s="16"/>
        <tr r="F16" s="14"/>
        <tr r="F16" s="14"/>
      </tp>
      <tp t="s">
        <v>#N/A Requesting Data...2703824810</v>
        <stp/>
        <stp>BDP|3552093167282378190</stp>
        <tr r="AT34" s="14"/>
      </tp>
      <tp t="s">
        <v>#N/A N/A</v>
        <stp/>
        <stp>BDP|6705120701803793223</stp>
        <tr r="S19" s="7"/>
      </tp>
      <tp t="s">
        <v>#N/A Requesting Data...3363125315</v>
        <stp/>
        <stp>BDP|6679096284628844021</stp>
        <tr r="G74" s="14"/>
      </tp>
      <tp t="s">
        <v>#N/A Requesting Data...4191329153</v>
        <stp/>
        <stp>BDP|3144938697880771531</stp>
        <tr r="AN41" s="14"/>
      </tp>
      <tp t="s">
        <v>#N/A N/A</v>
        <stp/>
        <stp>BDP|2251638149713095596</stp>
        <tr r="AH36" s="14"/>
        <tr r="AH36" s="14"/>
      </tp>
      <tp t="s">
        <v>#N/A N/A</v>
        <stp/>
        <stp>BDS|2732751567113306674</stp>
        <tr r="AI86" s="14"/>
        <tr r="AI86" s="14"/>
      </tp>
      <tp t="s">
        <v>#N/A N/A</v>
        <stp/>
        <stp>BDP|9209153474771461866</stp>
        <tr r="U18" s="7"/>
      </tp>
      <tp t="s">
        <v>#N/A N/A</v>
        <stp/>
        <stp>BDH|9972443636538245080</stp>
        <tr r="AE18" s="14"/>
      </tp>
      <tp t="s">
        <v>#N/A Requesting Data...3301612461</v>
        <stp/>
        <stp>BDP|7413269101625628637</stp>
        <tr r="H43" s="16"/>
        <tr r="H43" s="16"/>
        <tr r="F45" s="14"/>
        <tr r="F45" s="14"/>
      </tp>
      <tp t="s">
        <v>#N/A Requesting Data...2084877312</v>
        <stp/>
        <stp>BDP|5775413855170405219</stp>
        <tr r="I14" s="12"/>
      </tp>
      <tp t="s">
        <v>#N/A Requesting Data...3300908873</v>
        <stp/>
        <stp>BDP|8597990973713167387</stp>
        <tr r="C39" s="14"/>
      </tp>
      <tp t="s">
        <v>#N/A Requesting Data...1224817092</v>
        <stp/>
        <stp>BDP|4356352966860112770</stp>
        <tr r="D93" s="14"/>
        <tr r="C91" s="16"/>
      </tp>
      <tp t="s">
        <v>#N/A Requesting Data...1730052793</v>
        <stp/>
        <stp>BDP|4662029195842018977</stp>
        <tr r="AN21" s="14"/>
      </tp>
      <tp t="s">
        <v>#N/A Requesting Data...3933555312</v>
        <stp/>
        <stp>BDP|6783683089827458947</stp>
        <tr r="AR77" s="14"/>
      </tp>
      <tp t="s">
        <v>#N/A Requesting Data...1221909473</v>
        <stp/>
        <stp>BDP|8057713387724172515</stp>
        <tr r="E22" s="14"/>
        <tr r="D20" s="16"/>
      </tp>
      <tp t="s">
        <v>#N/A Requesting Data...1941321929</v>
        <stp/>
        <stp>BDP|2779649241360567618</stp>
        <tr r="AN80" s="14"/>
      </tp>
      <tp t="s">
        <v>#N/A N/A</v>
        <stp/>
        <stp>BDP|7221219180878661330</stp>
        <tr r="N18" s="7"/>
      </tp>
      <tp t="s">
        <v>#N/A Requesting Data...2246036661</v>
        <stp/>
        <stp>BDP|6491323012640593272</stp>
        <tr r="AE12" s="14"/>
      </tp>
      <tp t="s">
        <v>#N/A Requesting Data...3964577078</v>
        <stp/>
        <stp>BDP|8439868624775177102</stp>
        <tr r="AT102" s="14"/>
      </tp>
      <tp t="s">
        <v>#N/A N/A</v>
        <stp/>
        <stp>BDP|7397281951356812051</stp>
        <tr r="G11" s="4"/>
      </tp>
      <tp t="s">
        <v>#N/A Requesting Data...1277519080</v>
        <stp/>
        <stp>BDP|9638336245039398146</stp>
        <tr r="F87" s="16"/>
      </tp>
      <tp t="s">
        <v>#N/A Requesting Data...3575363786</v>
        <stp/>
        <stp>BDP|4514565063905545424</stp>
        <tr r="AL46" s="14"/>
      </tp>
      <tp t="s">
        <v>#N/A Requesting Data...1819601044</v>
        <stp/>
        <stp>BDP|2352633265257060321</stp>
        <tr r="D79" s="12"/>
      </tp>
      <tp t="s">
        <v>#N/A Requesting Data...2510255192</v>
        <stp/>
        <stp>BDP|7375232911024175677</stp>
        <tr r="AO80" s="14"/>
        <tr r="AO80" s="14"/>
      </tp>
      <tp t="s">
        <v>#N/A Requesting Data...2204097898</v>
        <stp/>
        <stp>BDP|4944084568941762599</stp>
        <tr r="E106" s="16"/>
      </tp>
      <tp t="s">
        <v>#N/A N/A</v>
        <stp/>
        <stp>BDH|5361770192299960486</stp>
        <tr r="AI108" s="14"/>
      </tp>
      <tp t="s">
        <v>#N/A N/A</v>
        <stp/>
        <stp>BDH|9542936951801824287</stp>
        <tr r="AN18" s="1"/>
      </tp>
      <tp t="s">
        <v>#N/A Requesting Data...1658307995</v>
        <stp/>
        <stp>BDP|9113718405030818891</stp>
        <tr r="I51" s="14"/>
        <tr r="I51" s="14"/>
      </tp>
      <tp t="s">
        <v>#N/A Requesting Data...2855519552</v>
        <stp/>
        <stp>BDP|5433043837033035338</stp>
        <tr r="K37" s="14"/>
        <tr r="K37" s="14"/>
      </tp>
      <tp t="s">
        <v>#N/A Requesting Data...2834423112</v>
        <stp/>
        <stp>BDP|6696673625234955097</stp>
        <tr r="D55" s="12"/>
      </tp>
      <tp t="s">
        <v>#N/A N/A</v>
        <stp/>
        <stp>BDP|2664745405420583365</stp>
        <tr r="S12" s="6"/>
      </tp>
      <tp t="s">
        <v>#N/A Requesting Data...2715073751</v>
        <stp/>
        <stp>BDP|7695765552034777716</stp>
        <tr r="G21" s="14"/>
      </tp>
      <tp t="s">
        <v>#N/A N/A</v>
        <stp/>
        <stp>BDP|3033667643310590740</stp>
        <tr r="AH110" s="14"/>
        <tr r="AH110" s="14"/>
      </tp>
      <tp t="s">
        <v>#N/A Requesting Data...1300724755</v>
        <stp/>
        <stp>BDP|6681720893417144926</stp>
        <tr r="AF66" s="14"/>
      </tp>
      <tp t="s">
        <v>#N/A Requesting Data...2646937240</v>
        <stp/>
        <stp>BDP|3914850388670401546</stp>
        <tr r="V25" s="14"/>
      </tp>
      <tp t="s">
        <v>#N/A Requesting Data...2396006195</v>
        <stp/>
        <stp>BDP|3055867015595017976</stp>
        <tr r="G79" s="14"/>
      </tp>
      <tp t="s">
        <v>#N/A Requesting Data...2197126832</v>
        <stp/>
        <stp>BDP|5942717317716339384</stp>
        <tr r="H50" s="14"/>
      </tp>
      <tp t="s">
        <v>#N/A Requesting Data...2758947605</v>
        <stp/>
        <stp>BDP|9654813771804528478</stp>
        <tr r="AH84" s="14"/>
      </tp>
      <tp t="s">
        <v>#N/A Requesting Data...4207678046</v>
        <stp/>
        <stp>BDP|4247930048228411790</stp>
        <tr r="H45" s="14"/>
      </tp>
      <tp t="s">
        <v>#N/A Requesting Data...2410011651</v>
        <stp/>
        <stp>BDP|1292390962852968041</stp>
        <tr r="AU35" s="14"/>
      </tp>
      <tp t="s">
        <v>#N/A N/A</v>
        <stp/>
        <stp>BDH|2330009859732729398</stp>
        <tr r="AE31" s="14"/>
      </tp>
      <tp t="s">
        <v>#N/A Requesting Data...2444937393</v>
        <stp/>
        <stp>BDP|9106735674738039738</stp>
        <tr r="C110" s="14"/>
      </tp>
      <tp t="s">
        <v>#N/A Requesting Data...1530117442</v>
        <stp/>
        <stp>BDP|6845639358922797116</stp>
        <tr r="AP100" s="14"/>
      </tp>
      <tp t="s">
        <v>#N/A N/A</v>
        <stp/>
        <stp>BDP|2155086716664810128</stp>
        <tr r="L83" s="16"/>
      </tp>
      <tp t="s">
        <v>#N/A Requesting Data...2965012227</v>
        <stp/>
        <stp>BDP|4361037233072169378</stp>
        <tr r="D46" s="16"/>
        <tr r="E48" s="14"/>
      </tp>
      <tp t="s">
        <v>#N/A Requesting Data...1802279212</v>
        <stp/>
        <stp>BDP|2579430765875306350</stp>
        <tr r="D6" s="12"/>
      </tp>
      <tp t="s">
        <v>#N/A N/A</v>
        <stp/>
        <stp>BDP|8000731991429036977</stp>
        <tr r="G22" s="6"/>
      </tp>
      <tp t="s">
        <v>#N/A Requesting Data...3726002430</v>
        <stp/>
        <stp>BDP|2460387523223805623</stp>
        <tr r="AM55" s="14"/>
      </tp>
      <tp t="s">
        <v>#N/A Requesting Data...3942984299</v>
        <stp/>
        <stp>BDP|1018698329822263175</stp>
        <tr r="AQ17" s="14"/>
      </tp>
      <tp t="s">
        <v>#N/A Requesting Data...2974555521</v>
        <stp/>
        <stp>BDP|5135782045915398458</stp>
        <tr r="D86" s="12"/>
      </tp>
      <tp t="s">
        <v>#N/A N/A</v>
        <stp/>
        <stp>BDP|8856344054560490965</stp>
        <tr r="AH93" s="14"/>
        <tr r="AH93" s="14"/>
      </tp>
      <tp t="s">
        <v>#N/A N/A</v>
        <stp/>
        <stp>BDS|8693426023349504087</stp>
        <tr r="AI84" s="14"/>
        <tr r="AI84" s="14"/>
      </tp>
      <tp t="s">
        <v>#N/A Requesting Data...3100406352</v>
        <stp/>
        <stp>BDP|6725964758304468979</stp>
        <tr r="AN13" s="14"/>
      </tp>
      <tp t="s">
        <v>#N/A Requesting Data...4165604598</v>
        <stp/>
        <stp>BDP|9890579465654883983</stp>
        <tr r="AE89" s="14"/>
      </tp>
      <tp t="s">
        <v>#N/A Requesting Data...1188463594</v>
        <stp/>
        <stp>BDP|8139744512551469898</stp>
        <tr r="AF65" s="14"/>
      </tp>
      <tp t="s">
        <v>#N/A Requesting Data...3205843848</v>
        <stp/>
        <stp>BDP|4725232482540474984</stp>
        <tr r="AS32" s="14"/>
      </tp>
      <tp t="s">
        <v>#N/A N/A</v>
        <stp/>
        <stp>BDP|1500190002593553416</stp>
        <tr r="AB11" s="1"/>
      </tp>
      <tp t="s">
        <v>#N/A Requesting Data...3973384433</v>
        <stp/>
        <stp>BDP|6933951066726674879</stp>
        <tr r="C59" s="12"/>
      </tp>
      <tp t="s">
        <v>#N/A N/A</v>
        <stp/>
        <stp>BDP|4771208199010048850</stp>
        <tr r="I24" s="7"/>
      </tp>
      <tp t="s">
        <v>#N/A Requesting Data...3749054822</v>
        <stp/>
        <stp>BDP|2320276020030611598</stp>
        <tr r="F55" s="16"/>
      </tp>
      <tp t="s">
        <v>#N/A Requesting Data...1623847160</v>
        <stp/>
        <stp>BDP|9320291390864665171</stp>
        <tr r="AL53" s="14"/>
      </tp>
      <tp t="s">
        <v>#N/A Requesting Data...3727978729</v>
        <stp/>
        <stp>BDP|5807535640814652766</stp>
        <tr r="AL96" s="14"/>
      </tp>
      <tp t="s">
        <v>#N/A Requesting Data...3711409309</v>
        <stp/>
        <stp>BDP|1628716539581401311</stp>
        <tr r="AE35" s="14"/>
      </tp>
      <tp t="s">
        <v>#N/A N/A</v>
        <stp/>
        <stp>BDH|9531783340775472822</stp>
        <tr r="AI36" s="14"/>
      </tp>
      <tp t="s">
        <v>#N/A Requesting Data...3143923173</v>
        <stp/>
        <stp>BDP|4176545374431998006</stp>
        <tr r="AN22" s="14"/>
      </tp>
      <tp t="s">
        <v>#N/A Requesting Data...2543955850</v>
        <stp/>
        <stp>BDP|3382736929799173804</stp>
        <tr r="F18" s="1"/>
      </tp>
      <tp t="s">
        <v>#N/A N/A</v>
        <stp/>
        <stp>BDP|9040859470035832459</stp>
        <tr r="AH35" s="14"/>
        <tr r="AH35" s="14"/>
      </tp>
      <tp t="s">
        <v>#N/A Requesting Data...2082389220</v>
        <stp/>
        <stp>BDP|8601477619272659879</stp>
        <tr r="AK15" s="1"/>
      </tp>
      <tp t="s">
        <v>#N/A N/A</v>
        <stp/>
        <stp>BDP|7197893430762132906</stp>
        <tr r="U20" s="6"/>
      </tp>
      <tp t="s">
        <v>#N/A Requesting Data...3375735092</v>
        <stp/>
        <stp>BDP|3761747431902949224</stp>
        <tr r="AQ105" s="14"/>
      </tp>
      <tp t="s">
        <v>#N/A Requesting Data...2241354325</v>
        <stp/>
        <stp>BDP|3589947817809854579</stp>
        <tr r="AP75" s="14"/>
      </tp>
      <tp t="s">
        <v>#N/A N/A</v>
        <stp/>
        <stp>BDS|9588155065580827942</stp>
        <tr r="AI70" s="14"/>
        <tr r="AI70" s="14"/>
        <tr r="AI71" s="14"/>
        <tr r="AI71" s="14"/>
        <tr r="AI66" s="14"/>
        <tr r="AI66" s="14"/>
      </tp>
      <tp t="s">
        <v>#N/A N/A</v>
        <stp/>
        <stp>BDP|1408302470931971347</stp>
        <tr r="N20" s="6"/>
      </tp>
      <tp t="s">
        <v>#N/A Requesting Data...4024218351</v>
        <stp/>
        <stp>BDP|6309365690598458386</stp>
        <tr r="E10" s="16"/>
      </tp>
      <tp t="s">
        <v>#N/A N/A</v>
        <stp/>
        <stp>BDP|5925458464607178709</stp>
        <tr r="T99" s="14"/>
        <tr r="T99" s="14"/>
      </tp>
      <tp t="s">
        <v>#N/A Requesting Data...3266144719</v>
        <stp/>
        <stp>BDP|1848077965246658652</stp>
        <tr r="F84" s="14"/>
        <tr r="F84" s="14"/>
        <tr r="H82" s="16"/>
        <tr r="H82" s="16"/>
      </tp>
      <tp t="s">
        <v>#N/A Requesting Data...3939593097</v>
        <stp/>
        <stp>BDP|8715035665238778188</stp>
        <tr r="AR32" s="14"/>
      </tp>
      <tp t="s">
        <v>#N/A N/A</v>
        <stp/>
        <stp>BDP|5447609438523037420</stp>
        <tr r="N18" s="6"/>
      </tp>
      <tp t="s">
        <v>#N/A N/A</v>
        <stp/>
        <stp>BDP|3934559810527374717</stp>
        <tr r="D12" s="6"/>
      </tp>
      <tp t="s">
        <v>#N/A Requesting Data...3077627118</v>
        <stp/>
        <stp>BDP|9105271954530530996</stp>
        <tr r="I108" s="14"/>
        <tr r="I108" s="14"/>
      </tp>
      <tp t="s">
        <v>#N/A N/A</v>
        <stp/>
        <stp>BDP|7170395038666809667</stp>
        <tr r="V15" s="6"/>
      </tp>
      <tp t="s">
        <v>#N/A Requesting Data...1681807240</v>
        <stp/>
        <stp>BDP|2308328231541794497</stp>
        <tr r="AH83" s="14"/>
      </tp>
      <tp t="s">
        <v>#N/A N/A</v>
        <stp/>
        <stp>BDP|4816482671707706786</stp>
        <tr r="N11" s="7"/>
      </tp>
      <tp t="s">
        <v>#N/A Requesting Data...2625560311</v>
        <stp/>
        <stp>BDP|4092990403899001344</stp>
        <tr r="AS52" s="14"/>
      </tp>
      <tp t="s">
        <v>#N/A N/A</v>
        <stp/>
        <stp>BDP|2572493966265118251</stp>
        <tr r="Y93" s="14"/>
      </tp>
      <tp t="s">
        <v>#N/A Requesting Data...4259621583</v>
        <stp/>
        <stp>BDP|7621999249855901803</stp>
        <tr r="I71" s="14"/>
        <tr r="I71" s="14"/>
      </tp>
      <tp t="s">
        <v>#N/A Requesting Data...3431877669</v>
        <stp/>
        <stp>BDP|9690726359119465568</stp>
        <tr r="G18" s="16"/>
      </tp>
      <tp t="s">
        <v>#N/A N/A</v>
        <stp/>
        <stp>BDP|2751365365517828734</stp>
        <tr r="J26" s="16"/>
      </tp>
      <tp t="s">
        <v>#N/A Requesting Data...4018743747</v>
        <stp/>
        <stp>BDP|9405854081518720686</stp>
        <tr r="AN45" s="14"/>
      </tp>
      <tp t="s">
        <v>#N/A N/A</v>
        <stp/>
        <stp>BDP|9286785105990752975</stp>
        <tr r="H17" s="1"/>
      </tp>
      <tp t="s">
        <v>#N/A N/A</v>
        <stp/>
        <stp>BDP|4973563323566094207</stp>
        <tr r="U13" s="4"/>
      </tp>
      <tp t="s">
        <v>#N/A N/A</v>
        <stp/>
        <stp>BDS|5564688415840152551</stp>
        <tr r="AI73" s="14"/>
        <tr r="AI73" s="14"/>
      </tp>
      <tp t="s">
        <v>#N/A N/A</v>
        <stp/>
        <stp>BDP|3852839294343333608</stp>
        <tr r="K97" s="16"/>
        <tr r="K98" s="16"/>
        <tr r="K96" s="16"/>
        <tr r="K95" s="16"/>
      </tp>
      <tp t="s">
        <v>#N/A Requesting Data...4069110677</v>
        <stp/>
        <stp>BDP|3929815189367984355</stp>
        <tr r="H16" s="14"/>
      </tp>
      <tp t="s">
        <v>#N/A Requesting Data...3886104636</v>
        <stp/>
        <stp>BDP|8621644346568094590</stp>
        <tr r="F75" s="14"/>
        <tr r="F75" s="14"/>
        <tr r="H73" s="16"/>
        <tr r="H73" s="16"/>
      </tp>
      <tp t="s">
        <v>#N/A Requesting Data...2531176578</v>
        <stp/>
        <stp>BDP|8799316921418805626</stp>
        <tr r="AF106" s="14"/>
      </tp>
      <tp t="s">
        <v>#N/A Requesting Data...1764247283</v>
        <stp/>
        <stp>BDP|1151739719262634202</stp>
        <tr r="V36" s="14"/>
      </tp>
      <tp t="s">
        <v>#N/A N/A</v>
        <stp/>
        <stp>BDP|3931429122391662320</stp>
        <tr r="F24" s="6"/>
      </tp>
      <tp t="s">
        <v>#N/A N/A</v>
        <stp/>
        <stp>BDP|1861107535545731173</stp>
        <tr r="T33" s="14"/>
      </tp>
      <tp t="s">
        <v>#N/A Requesting Data...1770939176</v>
        <stp/>
        <stp>BDP|3163150429585204225</stp>
        <tr r="H110" s="14"/>
      </tp>
      <tp t="s">
        <v>#N/A N/A</v>
        <stp/>
        <stp>BDH|2803255164064167555</stp>
        <tr r="AD12" s="4"/>
      </tp>
      <tp t="s">
        <v>#N/A Requesting Data...2251701335</v>
        <stp/>
        <stp>BDP|2915121618630196506</stp>
        <tr r="AO48" s="14"/>
        <tr r="AO48" s="14"/>
      </tp>
      <tp t="s">
        <v>#N/A N/A</v>
        <stp/>
        <stp>BDP|2804049458086088669</stp>
        <tr r="G24" s="7"/>
      </tp>
      <tp t="s">
        <v>#N/A Requesting Data...3901457328</v>
        <stp/>
        <stp>BDP|7845889830723632841</stp>
        <tr r="K76" s="14"/>
      </tp>
      <tp t="s">
        <v>#N/A Requesting Data...2200314625</v>
        <stp/>
        <stp>BDP|8548186693076931159</stp>
        <tr r="AL79" s="14"/>
      </tp>
      <tp t="s">
        <v>#N/A N/A</v>
        <stp/>
        <stp>BDP|2881702192622846904</stp>
        <tr r="AH29" s="14"/>
        <tr r="AH29" s="14"/>
      </tp>
      <tp t="s">
        <v>#N/A Requesting Data...2693100324</v>
        <stp/>
        <stp>BDP|7875416156788892953</stp>
        <tr r="AE60" s="14"/>
      </tp>
      <tp t="s">
        <v>#N/A N/A</v>
        <stp/>
        <stp>BDP|1111888209306240801</stp>
        <tr r="J21" s="16"/>
      </tp>
      <tp t="s">
        <v>#N/A Requesting Data...3081632221</v>
        <stp/>
        <stp>BDP|5645217034720740363</stp>
        <tr r="AK95" s="14"/>
      </tp>
      <tp t="s">
        <v>#N/A N/A</v>
        <stp/>
        <stp>BDP|7342032238676858527</stp>
        <tr r="U20" s="7"/>
      </tp>
      <tp t="s">
        <v>#N/A Requesting Data...1722444922</v>
        <stp/>
        <stp>BDP|1779262496719635434</stp>
        <tr r="AH106" s="14"/>
      </tp>
      <tp t="s">
        <v>#N/A Requesting Data...1531175347</v>
        <stp/>
        <stp>BDP|1699539917635873785</stp>
        <tr r="AD101" s="14"/>
      </tp>
      <tp t="s">
        <v>#N/A N/A</v>
        <stp/>
        <stp>BDP|6296460844975414467</stp>
        <tr r="AL12" s="1"/>
      </tp>
      <tp t="s">
        <v>#N/A Requesting Data...3322721970</v>
        <stp/>
        <stp>BDP|6189265336156648640</stp>
        <tr r="H42" s="16"/>
        <tr r="H42" s="16"/>
        <tr r="F44" s="14"/>
        <tr r="F44" s="14"/>
      </tp>
      <tp t="s">
        <v>#N/A Requesting Data...2388829747</v>
        <stp/>
        <stp>BDP|2545871400388095514</stp>
        <tr r="AB33" s="14"/>
        <tr r="AB33" s="14"/>
      </tp>
      <tp t="s">
        <v>#N/A N/A</v>
        <stp/>
        <stp>BDP|4377671104755153028</stp>
        <tr r="M14" s="4"/>
      </tp>
      <tp t="s">
        <v>#N/A Requesting Data...2218159362</v>
        <stp/>
        <stp>BDP|9721399505965856809</stp>
        <tr r="AK96" s="14"/>
      </tp>
      <tp t="s">
        <v>#N/A Requesting Data...3451160588</v>
        <stp/>
        <stp>BDP|4629385828251321366</stp>
        <tr r="I46" s="14"/>
        <tr r="I46" s="14"/>
      </tp>
      <tp t="s">
        <v>#N/A N/A</v>
        <stp/>
        <stp>BDP|2500232151726541410</stp>
        <tr r="P24" s="6"/>
      </tp>
      <tp t="s">
        <v>#N/A N/A</v>
        <stp/>
        <stp>BDP|2713105643139111964</stp>
        <tr r="AH69" s="14"/>
        <tr r="AH69" s="14"/>
      </tp>
      <tp t="s">
        <v>#N/A Requesting Data...3714850831</v>
        <stp/>
        <stp>BDP|4492673356960633005</stp>
        <tr r="M22" s="1"/>
      </tp>
      <tp t="s">
        <v>#N/A Requesting Data...2268259415</v>
        <stp/>
        <stp>BDP|1278010160245772576</stp>
        <tr r="V76" s="14"/>
      </tp>
      <tp t="s">
        <v>#N/A Requesting Data...3605488627</v>
        <stp/>
        <stp>BDP|6302563707085065113</stp>
        <tr r="H78" s="16"/>
        <tr r="H78" s="16"/>
        <tr r="F80" s="14"/>
        <tr r="F80" s="14"/>
      </tp>
      <tp t="s">
        <v>#N/A N/A</v>
        <stp/>
        <stp>BDP|9946027016906802952</stp>
        <tr r="J35" s="16"/>
      </tp>
      <tp t="s">
        <v>#N/A Requesting Data...1549877286</v>
        <stp/>
        <stp>BDP|1755639442154662004</stp>
        <tr r="AK89" s="14"/>
      </tp>
      <tp t="s">
        <v>#N/A Requesting Data...2526043252</v>
        <stp/>
        <stp>BDP|1817968691867914161</stp>
        <tr r="AM68" s="14"/>
      </tp>
      <tp t="s">
        <v>#N/A Requesting Data...2741175133</v>
        <stp/>
        <stp>BDP|1339885114148952763</stp>
        <tr r="K102" s="14"/>
      </tp>
      <tp t="s">
        <v>#N/A Requesting Data...1685099394</v>
        <stp/>
        <stp>BDP|1022298097268826569</stp>
        <tr r="G82" s="14"/>
      </tp>
      <tp t="s">
        <v>#N/A Requesting Data...2687855757</v>
        <stp/>
        <stp>BDP|9995502089664581750</stp>
        <tr r="AM84" s="14"/>
      </tp>
      <tp t="s">
        <v>#N/A N/A</v>
        <stp/>
        <stp>BDP|4894035557670999657</stp>
        <tr r="AH30" s="14"/>
        <tr r="AH30" s="14"/>
      </tp>
      <tp t="s">
        <v>#N/A N/A</v>
        <stp/>
        <stp>BDP|9468534521940568924</stp>
        <tr r="T16" s="14"/>
      </tp>
      <tp t="s">
        <v>#N/A Requesting Data...1390443560</v>
        <stp/>
        <stp>BDP|3815288612886427178</stp>
        <tr r="AL25" s="1"/>
        <tr r="AL13" s="5"/>
        <tr r="AL24" s="1"/>
        <tr r="AL12" s="5"/>
        <tr r="AL27" s="1"/>
        <tr r="AL26" s="1"/>
        <tr r="AL28" s="1"/>
      </tp>
      <tp t="s">
        <v>#N/A Requesting Data...4266696394</v>
        <stp/>
        <stp>BDP|1775629247181450577</stp>
        <tr r="G108" s="14"/>
      </tp>
      <tp t="s">
        <v>#N/A Requesting Data...4008341316</v>
        <stp/>
        <stp>BDP|1764348368575334694</stp>
        <tr r="AT61" s="14"/>
      </tp>
      <tp t="s">
        <v>#N/A N/A</v>
        <stp/>
        <stp>BDP|8538363312945929895</stp>
        <tr r="K71" s="16"/>
        <tr r="K10" s="16"/>
      </tp>
      <tp t="s">
        <v>#N/A Requesting Data...2301305198</v>
        <stp/>
        <stp>BDP|3060868586732646673</stp>
        <tr r="C77" s="14"/>
      </tp>
      <tp t="s">
        <v>#N/A Requesting Data...2904389062</v>
        <stp/>
        <stp>BDP|4574454421401606467</stp>
        <tr r="AF80" s="14"/>
      </tp>
      <tp t="s">
        <v>#N/A Requesting Data...3586223594</v>
        <stp/>
        <stp>BDP|5252191568066339314</stp>
        <tr r="AD12" s="14"/>
      </tp>
      <tp t="s">
        <v>#N/A Requesting Data...4268455103</v>
        <stp/>
        <stp>BDP|6200597602245852102</stp>
        <tr r="C49" s="16"/>
        <tr r="D51" s="14"/>
      </tp>
      <tp t="s">
        <v>#N/A N/A</v>
        <stp/>
        <stp>BDP|2390823386751422454</stp>
        <tr r="U22" s="6"/>
      </tp>
      <tp t="s">
        <v>#N/A N/A</v>
        <stp/>
        <stp>BDS|5162649470641656254</stp>
        <tr r="AI78" s="14"/>
        <tr r="AI78" s="14"/>
      </tp>
      <tp t="s">
        <v>#N/A Requesting Data...3506726794</v>
        <stp/>
        <stp>BDP|8652855765255420440</stp>
        <tr r="I22" s="14"/>
        <tr r="I22" s="14"/>
      </tp>
      <tp t="s">
        <v>#N/A Requesting Data...2617040809</v>
        <stp/>
        <stp>BDP|5955912294250817220</stp>
        <tr r="D34" s="14"/>
        <tr r="C32" s="16"/>
      </tp>
      <tp t="s">
        <v>#N/A Requesting Data...3356388067</v>
        <stp/>
        <stp>BDP|9038621607211167920</stp>
        <tr r="AD22" s="14"/>
      </tp>
      <tp t="s">
        <v>#N/A N/A</v>
        <stp/>
        <stp>BDH|5394787239417301177</stp>
        <tr r="AD14" s="4"/>
      </tp>
      <tp t="s">
        <v>#N/A N/A</v>
        <stp/>
        <stp>BDH|9808974825171591491</stp>
        <tr r="AD11" s="4"/>
      </tp>
      <tp t="s">
        <v>#N/A Requesting Data...4172775832</v>
        <stp/>
        <stp>BDP|3231053341178637879</stp>
        <tr r="E78" s="14"/>
        <tr r="D76" s="16"/>
      </tp>
      <tp t="s">
        <v>#N/A N/A</v>
        <stp/>
        <stp>BDP|7108819506059605173</stp>
        <tr r="J48" s="14"/>
        <tr r="J48" s="14"/>
      </tp>
      <tp t="s">
        <v>#N/A Requesting Data...1336228612</v>
        <stp/>
        <stp>BDP|2546639220553113207</stp>
        <tr r="AL21" s="1"/>
      </tp>
      <tp t="s">
        <v>#N/A Requesting Data...1630463462</v>
        <stp/>
        <stp>BDP|2105043746216673726</stp>
        <tr r="AH22" s="14"/>
      </tp>
      <tp t="s">
        <v>#N/A Requesting Data...3885217149</v>
        <stp/>
        <stp>BDP|6117557897289106457</stp>
        <tr r="AD77" s="14"/>
      </tp>
      <tp t="s">
        <v>#N/A Requesting Data...3097738738</v>
        <stp/>
        <stp>BDP|7640493362037336596</stp>
        <tr r="AL105" s="14"/>
      </tp>
      <tp t="s">
        <v>#N/A N/A</v>
        <stp/>
        <stp>BDP|7450867692630471137</stp>
        <tr r="S19" s="6"/>
      </tp>
      <tp t="s">
        <v>#N/A Requesting Data...2842822878</v>
        <stp/>
        <stp>BDP|1220936036778965492</stp>
        <tr r="AE85" s="14"/>
      </tp>
      <tp t="s">
        <v>#N/A Requesting Data...1770672141</v>
        <stp/>
        <stp>BDP|4408419071916404677</stp>
        <tr r="F101" s="16"/>
      </tp>
      <tp t="s">
        <v>#N/A Requesting Data...2167105712</v>
        <stp/>
        <stp>BDP|8374800546063732052</stp>
        <tr r="AB27" s="14"/>
        <tr r="AB27" s="14"/>
      </tp>
      <tp t="s">
        <v>#N/A Requesting Data...2061296776</v>
        <stp/>
        <stp>BDP|8724590053108905735</stp>
        <tr r="AM107" s="14"/>
      </tp>
      <tp t="s">
        <v>#N/A N/A</v>
        <stp/>
        <stp>BDH|9794919416592613415</stp>
        <tr r="AO14" s="1"/>
      </tp>
      <tp t="s">
        <v>#N/A Requesting Data...4043972099</v>
        <stp/>
        <stp>BDP|4237842098940222282</stp>
        <tr r="AO44" s="14"/>
        <tr r="AO44" s="14"/>
      </tp>
      <tp t="s">
        <v>#N/A Requesting Data...3410143074</v>
        <stp/>
        <stp>BDP|1452150079952542293</stp>
        <tr r="AN19" s="14"/>
      </tp>
      <tp t="s">
        <v>#N/A N/A</v>
        <stp/>
        <stp>BDP|6581434855143439334</stp>
        <tr r="I14" s="16"/>
      </tp>
      <tp t="s">
        <v>#N/A Requesting Data...2021601293</v>
        <stp/>
        <stp>BDP|2096474832770841292</stp>
        <tr r="C34" s="16"/>
        <tr r="D36" s="14"/>
      </tp>
      <tp t="s">
        <v>#N/A Requesting Data...1791745473</v>
        <stp/>
        <stp>BDP|6904191265986072010</stp>
        <tr r="F69" s="16"/>
      </tp>
      <tp t="s">
        <v>#N/A Requesting Data...2265086589</v>
        <stp/>
        <stp>BDP|2990236678623080360</stp>
        <tr r="G86" s="16"/>
      </tp>
      <tp t="s">
        <v>#N/A Requesting Data...3329778290</v>
        <stp/>
        <stp>BDP|1232340524513651400</stp>
        <tr r="AH87" s="14"/>
      </tp>
      <tp t="s">
        <v>#N/A Requesting Data...2350673944</v>
        <stp/>
        <stp>BDP|5037313751246329272</stp>
        <tr r="I47" s="14"/>
        <tr r="I47" s="14"/>
      </tp>
      <tp t="s">
        <v>#N/A Requesting Data...3792117096</v>
        <stp/>
        <stp>BDP|4226632772597486538</stp>
        <tr r="D95" s="14"/>
        <tr r="C93" s="16"/>
      </tp>
      <tp t="s">
        <v>#N/A Requesting Data...3402409897</v>
        <stp/>
        <stp>BDP|4446326117288534906</stp>
        <tr r="AK12" s="14"/>
      </tp>
      <tp t="s">
        <v>#N/A N/A</v>
        <stp/>
        <stp>BDP|6935055588590339934</stp>
        <tr r="T14" s="7"/>
      </tp>
      <tp t="s">
        <v>#N/A Requesting Data...3837373330</v>
        <stp/>
        <stp>BDP|9454793833913311998</stp>
        <tr r="AM12" s="14"/>
      </tp>
      <tp t="s">
        <v>#N/A N/A</v>
        <stp/>
        <stp>BDH|2743202901327510079</stp>
        <tr r="AE101" s="14"/>
      </tp>
      <tp t="s">
        <v>#N/A Requesting Data...2887219407</v>
        <stp/>
        <stp>BDP|3637447496950250931</stp>
        <tr r="AO32" s="14"/>
        <tr r="AO32" s="14"/>
      </tp>
      <tp t="s">
        <v>#N/A Requesting Data...2304463377</v>
        <stp/>
        <stp>BDP|2897252969607609675</stp>
        <tr r="C47" s="14"/>
      </tp>
      <tp t="s">
        <v>#N/A Requesting Data...3572175403</v>
        <stp/>
        <stp>BDP|6511483188944185918</stp>
        <tr r="F102" s="14"/>
        <tr r="F102" s="14"/>
        <tr r="H100" s="16"/>
        <tr r="H100" s="16"/>
      </tp>
      <tp t="s">
        <v>#N/A Requesting Data...2439555280</v>
        <stp/>
        <stp>BDP|2085741043467431161</stp>
        <tr r="AD39" s="14"/>
      </tp>
      <tp t="s">
        <v>#N/A N/A</v>
        <stp/>
        <stp>BDP|8118791104030164885</stp>
        <tr r="AB21" s="1"/>
      </tp>
      <tp t="s">
        <v>#N/A Requesting Data...1527528169</v>
        <stp/>
        <stp>BDP|5833159949934066316</stp>
        <tr r="E26" s="16"/>
      </tp>
      <tp t="s">
        <v>#N/A N/A</v>
        <stp/>
        <stp>BDP|5230473132857381214</stp>
        <tr r="G16" s="6"/>
      </tp>
      <tp t="s">
        <v>#N/A N/A</v>
        <stp/>
        <stp>BDH|7959902035409157388</stp>
        <tr r="AN21" s="1"/>
      </tp>
      <tp t="s">
        <v>#N/A N/A</v>
        <stp/>
        <stp>BDH|31982048322182575</stp>
        <tr r="AE82" s="14"/>
      </tp>
      <tp t="s">
        <v>#N/A Requesting Data...2593646331</v>
        <stp/>
        <stp>BDP|9118869311242532291</stp>
        <tr r="K27" s="14"/>
      </tp>
      <tp t="s">
        <v>#N/A N/A</v>
        <stp/>
        <stp>BDP|9908093689871025038</stp>
        <tr r="V22" s="7"/>
      </tp>
      <tp t="s">
        <v>#N/A N/A</v>
        <stp/>
        <stp>BDS|7463962796144825364</stp>
        <tr r="AI16" s="14"/>
        <tr r="AI16" s="14"/>
      </tp>
      <tp t="s">
        <v>#N/A Requesting Data...4022535743</v>
        <stp/>
        <stp>BDP|2979618954373180274</stp>
        <tr r="AN35" s="14"/>
      </tp>
      <tp t="s">
        <v>#N/A Requesting Data...3101482407</v>
        <stp/>
        <stp>BDP|1301591313216321301</stp>
        <tr r="D42" s="16"/>
        <tr r="E44" s="14"/>
      </tp>
      <tp t="s">
        <v>#N/A N/A</v>
        <stp/>
        <stp>BDP|2110052879586207352</stp>
        <tr r="P22" s="6"/>
      </tp>
      <tp t="s">
        <v>#N/A Requesting Data...2706020766</v>
        <stp/>
        <stp>BDP|6998340407431915498</stp>
        <tr r="AN27" s="14"/>
      </tp>
      <tp t="s">
        <v>#N/A Requesting Data...2543201745</v>
        <stp/>
        <stp>BDP|9967235192367203507</stp>
        <tr r="AM37" s="14"/>
      </tp>
      <tp t="s">
        <v>#N/A Requesting Data...2592871190</v>
        <stp/>
        <stp>BDP|9511327853747789880</stp>
        <tr r="AS72" s="14"/>
      </tp>
      <tp t="s">
        <v>#N/A N/A</v>
        <stp/>
        <stp>BDP|5505685812994761633</stp>
        <tr r="X14" s="4"/>
      </tp>
      <tp t="s">
        <v>#N/A Requesting Data...3732999225</v>
        <stp/>
        <stp>BDP|5331212948122585140</stp>
        <tr r="D63" s="12"/>
      </tp>
      <tp t="s">
        <v>#N/A Requesting Data...2568875669</v>
        <stp/>
        <stp>BDP|1189911394175985468</stp>
        <tr r="G30" s="14"/>
      </tp>
      <tp t="s">
        <v>#N/A Requesting Data...1406503289</v>
        <stp/>
        <stp>BDP|4387185743406124720</stp>
        <tr r="H13" s="16"/>
        <tr r="H13" s="16"/>
        <tr r="F15" s="14"/>
        <tr r="F15" s="14"/>
      </tp>
      <tp t="s">
        <v>#N/A Requesting Data...3122521858</v>
        <stp/>
        <stp>BDP|3268816908519093206</stp>
        <tr r="AP27" s="14"/>
      </tp>
      <tp t="s">
        <v>#N/A Requesting Data...2365581819</v>
        <stp/>
        <stp>BDP|6250388417543075762</stp>
        <tr r="AL34" s="14"/>
      </tp>
      <tp t="s">
        <v>#N/A N/A</v>
        <stp/>
        <stp>BDP|4304789234434089448</stp>
        <tr r="G23" s="1"/>
      </tp>
      <tp t="s">
        <v>#N/A Requesting Data...2631519603</v>
        <stp/>
        <stp>BDP|4951262354063757070</stp>
        <tr r="AO101" s="14"/>
        <tr r="AO101" s="14"/>
      </tp>
      <tp t="s">
        <v>#N/A Requesting Data...3170794854</v>
        <stp/>
        <stp>BDP|1444621637582264681</stp>
        <tr r="H109" s="14"/>
      </tp>
      <tp t="s">
        <v>#N/A Requesting Data...4109553169</v>
        <stp/>
        <stp>BDP|4765385702001474622</stp>
        <tr r="AU56" s="14"/>
      </tp>
      <tp t="s">
        <v>#N/A Requesting Data...2666296525</v>
        <stp/>
        <stp>BDP|1214748177770392191</stp>
        <tr r="H83" s="16"/>
        <tr r="H83" s="16"/>
        <tr r="F85" s="14"/>
        <tr r="F85" s="14"/>
      </tp>
      <tp t="s">
        <v>#N/A Requesting Data...3112946917</v>
        <stp/>
        <stp>BDP|7998402986748350340</stp>
        <tr r="AQ51" s="14"/>
      </tp>
      <tp t="s">
        <v>#N/A Requesting Data...2707305594</v>
        <stp/>
        <stp>BDP|3537846489263869088</stp>
        <tr r="AE49" s="14"/>
      </tp>
      <tp t="s">
        <v>#N/A N/A</v>
        <stp/>
        <stp>BDP|4553756766543841669</stp>
        <tr r="F17" s="7"/>
      </tp>
      <tp t="s">
        <v>#N/A Requesting Data...3891602876</v>
        <stp/>
        <stp>BDP|5103157225965896316</stp>
        <tr r="C65" s="12"/>
      </tp>
      <tp t="s">
        <v>#N/A N/A</v>
        <stp/>
        <stp>BDP|4621235216665839237</stp>
        <tr r="I21" s="7"/>
      </tp>
      <tp t="s">
        <v>#N/A Requesting Data...3551365869</v>
        <stp/>
        <stp>BDP|6448056217765769295</stp>
        <tr r="AL110" s="14"/>
      </tp>
      <tp t="s">
        <v>#N/A Requesting Data...1727906777</v>
        <stp/>
        <stp>BDP|7555209947588876936</stp>
        <tr r="G65" s="16"/>
      </tp>
      <tp t="s">
        <v>#N/A Requesting Data...1783146836</v>
        <stp/>
        <stp>BDP|2800237015175319448</stp>
        <tr r="AO68" s="14"/>
        <tr r="AO68" s="14"/>
      </tp>
      <tp t="s">
        <v>#N/A Requesting Data...2245873756</v>
        <stp/>
        <stp>BDP|8945190299750310030</stp>
        <tr r="G59" s="14"/>
      </tp>
      <tp t="s">
        <v>#N/A N/A</v>
        <stp/>
        <stp>BDP|3057474339712079673</stp>
        <tr r="J94" s="16"/>
        <tr r="J12" s="16"/>
        <tr r="J13" s="16"/>
      </tp>
      <tp t="s">
        <v>#N/A Requesting Data...2768639300</v>
        <stp/>
        <stp>BDP|7946955147142110834</stp>
        <tr r="H15" s="1"/>
      </tp>
      <tp t="s">
        <v>#N/A Requesting Data...3313799597</v>
        <stp/>
        <stp>BDP|8496800131844536796</stp>
        <tr r="AS81" s="14"/>
      </tp>
      <tp t="s">
        <v>#N/A N/A</v>
        <stp/>
        <stp>BDP|7276575576152871722</stp>
        <tr r="P23" s="6"/>
      </tp>
      <tp t="s">
        <v>#N/A Requesting Data...1439550064</v>
        <stp/>
        <stp>BDP|1934545826571506775</stp>
        <tr r="E82" s="14"/>
        <tr r="D80" s="16"/>
      </tp>
      <tp t="s">
        <v>#N/A Requesting Data...3933731688</v>
        <stp/>
        <stp>BDP|1473694986258407767</stp>
        <tr r="AR70" s="14"/>
      </tp>
      <tp t="s">
        <v>#N/A Requesting Data...3051043209</v>
        <stp/>
        <stp>BDP|4187041678232054136</stp>
        <tr r="AS70" s="14"/>
      </tp>
      <tp t="s">
        <v>#N/A Requesting Data...3473554734</v>
        <stp/>
        <stp>BDP|5174058655862787280</stp>
        <tr r="AT63" s="14"/>
      </tp>
      <tp t="s">
        <v>#N/A Requesting Data...3162721959</v>
        <stp/>
        <stp>BDP|1979636513010655615</stp>
        <tr r="I14" s="14"/>
        <tr r="I14" s="14"/>
      </tp>
      <tp t="s">
        <v>#N/A Requesting Data...4170909632</v>
        <stp/>
        <stp>BDP|9413668770821911954</stp>
        <tr r="D106" s="12"/>
      </tp>
      <tp t="s">
        <v>#N/A N/A</v>
        <stp/>
        <stp>BDH|6452799157500272462</stp>
        <tr r="AI56" s="14"/>
        <tr r="AI57" s="14"/>
        <tr r="AI50" s="14"/>
        <tr r="AI53" s="14"/>
        <tr r="AI48" s="14"/>
        <tr r="AI51" s="14"/>
        <tr r="AI52" s="14"/>
      </tp>
      <tp t="s">
        <v>#N/A Requesting Data...2175898542</v>
        <stp/>
        <stp>BDP|6842033806830733657</stp>
        <tr r="AS92" s="14"/>
      </tp>
      <tp t="s">
        <v>#N/A Requesting Data...4000379004</v>
        <stp/>
        <stp>BDP|1026374029767380723</stp>
        <tr r="AN74" s="14"/>
      </tp>
      <tp t="s">
        <v>#N/A Requesting Data...1425031947</v>
        <stp/>
        <stp>BDP|3756297615922142252</stp>
        <tr r="H17" s="14"/>
      </tp>
      <tp t="s">
        <v>#N/A N/A</v>
        <stp/>
        <stp>BDP|3624723773775038689</stp>
        <tr r="K14" s="1"/>
      </tp>
      <tp t="s">
        <v>#N/A Requesting Data...1363430422</v>
        <stp/>
        <stp>BDP|2576418278552462379</stp>
        <tr r="AN99" s="14"/>
      </tp>
      <tp t="s">
        <v>#N/A Requesting Data...2445460302</v>
        <stp/>
        <stp>BDP|7372123219122578524</stp>
        <tr r="G62" s="14"/>
      </tp>
      <tp t="s">
        <v>#N/A N/A</v>
        <stp/>
        <stp>BDH|4602203178478146905</stp>
        <tr r="AE32" s="14"/>
      </tp>
      <tp t="s">
        <v>#N/A Requesting Data...2208836841</v>
        <stp/>
        <stp>BDP|4646978660079514287</stp>
        <tr r="AR82" s="14"/>
      </tp>
      <tp t="s">
        <v>#N/A Requesting Data...3416550729</v>
        <stp/>
        <stp>BDP|7147292655518585846</stp>
        <tr r="G48" s="16"/>
      </tp>
      <tp t="s">
        <v>#N/A Requesting Data...2565374581</v>
        <stp/>
        <stp>BDP|9329575081293902705</stp>
        <tr r="D96" s="12"/>
      </tp>
      <tp t="s">
        <v>#N/A Requesting Data...2240185072</v>
        <stp/>
        <stp>BDP|1258281919664781689</stp>
        <tr r="AT70" s="14"/>
      </tp>
      <tp t="s">
        <v>#N/A N/A</v>
        <stp/>
        <stp>BDS|3477898728739165088</stp>
        <tr r="AI49" s="14"/>
        <tr r="AI49" s="14"/>
      </tp>
      <tp t="s">
        <v>#N/A Requesting Data...2537675245</v>
        <stp/>
        <stp>BDP|8087190405838685171</stp>
        <tr r="V50" s="14"/>
      </tp>
      <tp t="s">
        <v>#N/A Requesting Data...2506627928</v>
        <stp/>
        <stp>BDP|8310639638259061450</stp>
        <tr r="D104" s="16"/>
        <tr r="E106" s="14"/>
      </tp>
      <tp t="s">
        <v>#N/A N/A</v>
        <stp/>
        <stp>BDP|9002299586964085727</stp>
        <tr r="S22" s="7"/>
      </tp>
      <tp t="s">
        <v>#N/A Requesting Data...3026683814</v>
        <stp/>
        <stp>BDP|3399623054608861809</stp>
        <tr r="H104" s="16"/>
        <tr r="H104" s="16"/>
        <tr r="F106" s="14"/>
        <tr r="F106" s="14"/>
      </tp>
      <tp t="s">
        <v>#N/A Requesting Data...3149291504</v>
        <stp/>
        <stp>BDP|5776236258676445456</stp>
        <tr r="I16" s="14"/>
      </tp>
      <tp t="s">
        <v>#N/A Requesting Data...2866258804</v>
        <stp/>
        <stp>BDP|6926531270086547222</stp>
        <tr r="AK45" s="14"/>
      </tp>
      <tp t="s">
        <v>#N/A N/A</v>
        <stp/>
        <stp>BDH|8319572895862587692</stp>
        <tr r="X16" s="6"/>
      </tp>
      <tp t="s">
        <v>#N/A Requesting Data...3045469175</v>
        <stp/>
        <stp>BDP|9190557116859094404</stp>
        <tr r="AH38" s="14"/>
      </tp>
      <tp t="s">
        <v>#N/A Requesting Data...2944940499</v>
        <stp/>
        <stp>BDP|1121483936572477498</stp>
        <tr r="AU72" s="14"/>
      </tp>
      <tp t="s">
        <v>#N/A Requesting Data...2576695648</v>
        <stp/>
        <stp>BDP|8341919056002114676</stp>
        <tr r="D82" s="16"/>
        <tr r="E84" s="14"/>
      </tp>
      <tp t="s">
        <v>#N/A Requesting Data...2683774038</v>
        <stp/>
        <stp>BDP|9747250990604592651</stp>
        <tr r="AM51" s="14"/>
      </tp>
      <tp t="s">
        <v>#N/A Requesting Data...2763340581</v>
        <stp/>
        <stp>BDP|4714220460599210958</stp>
        <tr r="H60" s="14"/>
      </tp>
      <tp t="s">
        <v>#N/A Requesting Data...4178104778</v>
        <stp/>
        <stp>BDP|6915599563330643573</stp>
        <tr r="H36" s="14"/>
      </tp>
      <tp t="s">
        <v>#N/A N/A</v>
        <stp/>
        <stp>BDP|2690699478145275678</stp>
        <tr r="I108" s="16"/>
        <tr r="I62" s="16"/>
        <tr r="I57" s="16"/>
      </tp>
      <tp t="s">
        <v>#N/A Requesting Data...1527115829</v>
        <stp/>
        <stp>BDP|5129898212665920910</stp>
        <tr r="G34" s="14"/>
      </tp>
      <tp t="s">
        <v>#N/A Requesting Data...2003047391</v>
        <stp/>
        <stp>BDP|8672721727965159804</stp>
        <tr r="E92" s="16"/>
      </tp>
      <tp t="s">
        <v>#N/A Requesting Data...4001371387</v>
        <stp/>
        <stp>BDP|2060062515445018612</stp>
        <tr r="G13" s="16"/>
      </tp>
      <tp t="s">
        <v>#N/A Requesting Data...3375167768</v>
        <stp/>
        <stp>BDP|4538605035789629840</stp>
        <tr r="AL97" s="14"/>
      </tp>
      <tp t="s">
        <v>#N/A N/A</v>
        <stp/>
        <stp>BDP|1631704545822125015</stp>
        <tr r="D22" s="7"/>
      </tp>
      <tp t="s">
        <v>#N/A Requesting Data...2846049833</v>
        <stp/>
        <stp>BDP|4029853491962783708</stp>
        <tr r="AB105" s="14"/>
        <tr r="AB105" s="14"/>
      </tp>
      <tp t="s">
        <v>#N/A N/A</v>
        <stp/>
        <stp>BDP|1796901287141332101</stp>
        <tr r="T14" s="14"/>
        <tr r="T14" s="14"/>
      </tp>
      <tp t="s">
        <v>#N/A Requesting Data...2961410980</v>
        <stp/>
        <stp>BDP|5599320463240421032</stp>
        <tr r="H38" s="14"/>
      </tp>
      <tp t="s">
        <v>#N/A Requesting Data...3632964823</v>
        <stp/>
        <stp>BDP|2686690920963493582</stp>
        <tr r="AM59" s="14"/>
      </tp>
      <tp t="s">
        <v>#N/A Requesting Data...2084037625</v>
        <stp/>
        <stp>BDP|6447263004623461716</stp>
        <tr r="AP99" s="14"/>
      </tp>
      <tp t="s">
        <v>#N/A Requesting Data...1976661827</v>
        <stp/>
        <stp>BDP|1500970322662647851</stp>
        <tr r="E75" s="16"/>
      </tp>
      <tp t="s">
        <v>#N/A Requesting Data...2247942358</v>
        <stp/>
        <stp>BDP|1769171765362722415</stp>
        <tr r="AT103" s="14"/>
      </tp>
      <tp t="s">
        <v>#N/A N/A</v>
        <stp/>
        <stp>BDP|7034665492028364044</stp>
        <tr r="I14" s="1"/>
      </tp>
      <tp t="s">
        <v>#N/A Requesting Data...4258123946</v>
        <stp/>
        <stp>BDP|4398865197655248007</stp>
        <tr r="AQ50" s="14"/>
      </tp>
      <tp t="s">
        <v>#N/A Requesting Data...3163196624</v>
        <stp/>
        <stp>BDP|8350645416686973989</stp>
        <tr r="D47" s="16"/>
        <tr r="E49" s="14"/>
      </tp>
      <tp t="s">
        <v>#N/A Requesting Data...2875481355</v>
        <stp/>
        <stp>BDP|3282624249692189389</stp>
        <tr r="H13" s="14"/>
      </tp>
      <tp t="s">
        <v>#N/A N/A</v>
        <stp/>
        <stp>BDP|7639280109653394647</stp>
        <tr r="L15" s="16"/>
        <tr r="L44" s="16"/>
        <tr r="L47" s="16"/>
      </tp>
      <tp t="s">
        <v>#N/A Requesting Data...1811464603</v>
        <stp/>
        <stp>BDP|2684845185982419038</stp>
        <tr r="AB96" s="14"/>
        <tr r="AB96" s="14"/>
      </tp>
      <tp t="s">
        <v>#N/A Requesting Data...3828367716</v>
        <stp/>
        <stp>BDP|3509062161725104038</stp>
        <tr r="AO79" s="14"/>
        <tr r="AO79" s="14"/>
      </tp>
      <tp t="s">
        <v>#N/A Requesting Data...3877188298</v>
        <stp/>
        <stp>BDP|4209052514881474472</stp>
        <tr r="AP47" s="14"/>
      </tp>
      <tp t="s">
        <v>#N/A Requesting Data...2437388727</v>
        <stp/>
        <stp>BDP|5286262472039532938</stp>
        <tr r="AD68" s="14"/>
      </tp>
      <tp t="s">
        <v>#N/A Requesting Data...2499033217</v>
        <stp/>
        <stp>BDP|4368753076276251223</stp>
        <tr r="AH32" s="14"/>
      </tp>
      <tp t="s">
        <v>#N/A N/A</v>
        <stp/>
        <stp>BDS|4141077942313358375</stp>
        <tr r="AI68" s="14"/>
        <tr r="AI68" s="14"/>
      </tp>
      <tp t="s">
        <v>#N/A Requesting Data...2950805989</v>
        <stp/>
        <stp>BDP|4446355972294404477</stp>
        <tr r="AF21" s="14"/>
      </tp>
      <tp t="s">
        <v>#N/A Requesting Data...2048543706</v>
        <stp/>
        <stp>BDP|8984391231820429854</stp>
        <tr r="AS59" s="14"/>
      </tp>
      <tp t="s">
        <v>#N/A N/A</v>
        <stp/>
        <stp>BDS|1510157580481912997</stp>
        <tr r="P12" s="12"/>
      </tp>
      <tp t="s">
        <v>#N/A Requesting Data...4212136442</v>
        <stp/>
        <stp>BDP|5280889078189718357</stp>
        <tr r="AN95" s="14"/>
      </tp>
      <tp t="s">
        <v>#N/A Requesting Data...1698964950</v>
        <stp/>
        <stp>BDP|6426942200699290636</stp>
        <tr r="B85" s="12"/>
        <tr r="B77" s="12"/>
        <tr r="B105" s="12"/>
        <tr r="B117" s="12"/>
        <tr r="B54" s="12"/>
      </tp>
      <tp t="s">
        <v>#N/A N/A</v>
        <stp/>
        <stp>BDP|5104523055492298752</stp>
        <tr r="T17" s="7"/>
      </tp>
      <tp t="s">
        <v>#N/A Requesting Data...3704654879</v>
        <stp/>
        <stp>BDP|4118365908800806760</stp>
        <tr r="E99" s="16"/>
      </tp>
      <tp t="s">
        <v>#N/A Requesting Data...3150414630</v>
        <stp/>
        <stp>BDP|1700941059928206597</stp>
        <tr r="AT95" s="14"/>
      </tp>
      <tp t="s">
        <v>#N/A Requesting Data...1434800609</v>
        <stp/>
        <stp>BDP|2610161627649112878</stp>
        <tr r="AS106" s="14"/>
      </tp>
      <tp t="s">
        <v>#N/A Requesting Data...3924356125</v>
        <stp/>
        <stp>BDP|7879673739485222753</stp>
        <tr r="AS90" s="14"/>
        <tr r="AS91" s="14"/>
      </tp>
      <tp t="s">
        <v>#N/A Requesting Data...1799206894</v>
        <stp/>
        <stp>BDP|1095726962006984687</stp>
        <tr r="AK75" s="14"/>
      </tp>
      <tp t="s">
        <v>#N/A N/A</v>
        <stp/>
        <stp>BDP|1590658466037267654</stp>
        <tr r="L99" s="16"/>
      </tp>
      <tp t="s">
        <v>#N/A Requesting Data...3560064749</v>
        <stp/>
        <stp>BDP|8079865107099142914</stp>
        <tr r="AD95" s="14"/>
      </tp>
      <tp t="s">
        <v>#N/A Requesting Data...2143778846</v>
        <stp/>
        <stp>BDP|6540410371790118557</stp>
        <tr r="E38" s="16"/>
      </tp>
      <tp t="s">
        <v>#N/A Requesting Data...4187589494</v>
        <stp/>
        <stp>BDP|5976559214259819818</stp>
        <tr r="AH39" s="14"/>
      </tp>
      <tp t="s">
        <v>#N/A Requesting Data...3160933188</v>
        <stp/>
        <stp>BDP|7713829092881995780</stp>
        <tr r="AT49" s="14"/>
      </tp>
      <tp t="s">
        <v>#N/A Requesting Data...1670423506</v>
        <stp/>
        <stp>BDP|7084531255104800385</stp>
        <tr r="AF78" s="14"/>
      </tp>
      <tp t="s">
        <v>#N/A Requesting Data...3286468659</v>
        <stp/>
        <stp>BDP|6649670120194275653</stp>
        <tr r="AR96" s="14"/>
      </tp>
      <tp t="s">
        <v>#N/A N/A</v>
        <stp/>
        <stp>BDP|7153008862863052251</stp>
        <tr r="V11" s="7"/>
      </tp>
      <tp t="s">
        <v>#N/A N/A</v>
        <stp/>
        <stp>BDP|6750549613132550038</stp>
        <tr r="S22" s="6"/>
      </tp>
      <tp t="s">
        <v>#N/A Requesting Data...2096536321</v>
        <stp/>
        <stp>BDP|8742853504267878785</stp>
        <tr r="D19" s="16"/>
        <tr r="E21" s="14"/>
      </tp>
      <tp t="s">
        <v>#N/A N/A</v>
        <stp/>
        <stp>BDP|8957290546326871887</stp>
        <tr r="L45" s="16"/>
        <tr r="L37" s="16"/>
      </tp>
      <tp t="s">
        <v>#N/A Requesting Data...3405547648</v>
        <stp/>
        <stp>BDP|7936542937752495395</stp>
        <tr r="F36" s="16"/>
      </tp>
      <tp t="s">
        <v>#N/A Requesting Data...4189884507</v>
        <stp/>
        <stp>BDP|4265304035054188010</stp>
        <tr r="AF13" s="14"/>
      </tp>
      <tp t="s">
        <v>#N/A N/A</v>
        <stp/>
        <stp>BDP|4559320032741591577</stp>
        <tr r="AB20" s="1"/>
      </tp>
      <tp t="s">
        <v>#N/A N/A</v>
        <stp/>
        <stp>BDP|1771324153570350722</stp>
        <tr r="U25" s="7"/>
      </tp>
      <tp t="s">
        <v>#N/A N/A</v>
        <stp/>
        <stp>BDP|8060645262211330922</stp>
        <tr r="T32" s="14"/>
        <tr r="T32" s="14"/>
      </tp>
      <tp t="s">
        <v>#N/A Requesting Data...3812503998</v>
        <stp/>
        <stp>BDP|5027429086178207119</stp>
        <tr r="V71" s="14"/>
      </tp>
      <tp t="s">
        <v>#N/A Requesting Data...2205575114</v>
        <stp/>
        <stp>BDP|4353215063057049767</stp>
        <tr r="AQ13" s="14"/>
      </tp>
      <tp t="s">
        <v>#N/A Requesting Data...2757290060</v>
        <stp/>
        <stp>BDP|4164812095122479767</stp>
        <tr r="AH61" s="14"/>
      </tp>
      <tp t="s">
        <v>#N/A Requesting Data...2506991254</v>
        <stp/>
        <stp>BDP|5570551352361357467</stp>
        <tr r="AN86" s="14"/>
      </tp>
      <tp t="s">
        <v>#N/A N/A</v>
        <stp/>
        <stp>BDP|5210265365140739110</stp>
        <tr r="T15" s="6"/>
      </tp>
      <tp t="s">
        <v>#N/A Requesting Data...1914607648</v>
        <stp/>
        <stp>BDP|2156123481349222248</stp>
        <tr r="AU63" s="14"/>
      </tp>
      <tp t="s">
        <v>#N/A N/A</v>
        <stp/>
        <stp>BDP|1901738804216324097</stp>
        <tr r="J46" s="16"/>
        <tr r="J54" s="16"/>
        <tr r="J55" s="16"/>
      </tp>
      <tp t="s">
        <v>#N/A Requesting Data...3351936251</v>
        <stp/>
        <stp>BDP|5891659872542928624</stp>
        <tr r="AH25" s="14"/>
      </tp>
      <tp t="s">
        <v>#N/A N/A</v>
        <stp/>
        <stp>BDP|9712923694488554100</stp>
        <tr r="V37" s="14"/>
      </tp>
      <tp t="s">
        <v>#N/A Requesting Data...2360298493</v>
        <stp/>
        <stp>BDP|7318154143345226736</stp>
        <tr r="K77" s="14"/>
      </tp>
      <tp t="s">
        <v>#N/A Requesting Data...3937063608</v>
        <stp/>
        <stp>BDP|5392278091967888995</stp>
        <tr r="AD71" s="14"/>
      </tp>
      <tp t="s">
        <v>#N/A Requesting Data...3584994980</v>
        <stp/>
        <stp>BDP|8741478912839756415</stp>
        <tr r="AU102" s="14"/>
      </tp>
      <tp t="s">
        <v>#N/A Requesting Data...1478240093</v>
        <stp/>
        <stp>BDP|8488300842347002830</stp>
        <tr r="AE94" s="14"/>
      </tp>
      <tp t="s">
        <v>#N/A Requesting Data...1471770454</v>
        <stp/>
        <stp>BDP|1394274420142876398</stp>
        <tr r="AK87" s="14"/>
      </tp>
      <tp t="s">
        <v>#N/A N/A</v>
        <stp/>
        <stp>BDP|7528307641285747561</stp>
        <tr r="I10" s="16"/>
        <tr r="I71" s="16"/>
      </tp>
      <tp t="s">
        <v>#N/A Requesting Data...2458656186</v>
        <stp/>
        <stp>BDP|5045126960766206450</stp>
        <tr r="AE72" s="14"/>
      </tp>
      <tp t="s">
        <v>#N/A Requesting Data...1490529341</v>
        <stp/>
        <stp>BDP|2794088043303879511</stp>
        <tr r="AO110" s="14"/>
        <tr r="AO110" s="14"/>
      </tp>
    </main>
    <main first="bofaddin.rtdserver">
      <tp t="s">
        <v>#N/A Requesting Data...3883809023</v>
        <stp/>
        <stp>BDP|2175249714760873035</stp>
        <tr r="F14" s="14"/>
        <tr r="F14" s="14"/>
        <tr r="H12" s="16"/>
        <tr r="H12" s="16"/>
      </tp>
      <tp t="s">
        <v>#N/A Requesting Data...3230744801</v>
        <stp/>
        <stp>BDP|2992459777054451459</stp>
        <tr r="H25" s="1"/>
        <tr r="H13" s="5"/>
        <tr r="H24" s="1"/>
        <tr r="H16" s="4"/>
        <tr r="H12" s="5"/>
        <tr r="H27" s="1"/>
        <tr r="H18" s="4"/>
        <tr r="H19" s="4"/>
        <tr r="H21" s="4"/>
        <tr r="H20" s="4"/>
        <tr r="H26" s="1"/>
        <tr r="H28" s="1"/>
        <tr r="D27" s="6"/>
        <tr r="D28" s="6"/>
        <tr r="H17" s="4"/>
      </tp>
      <tp t="s">
        <v>#N/A Requesting Data...2068793789</v>
        <stp/>
        <stp>BDP|7914719123933411050</stp>
        <tr r="AB78" s="14"/>
        <tr r="AB78" s="14"/>
      </tp>
      <tp t="s">
        <v>#N/A Requesting Data...2380565829</v>
        <stp/>
        <stp>BDP|1124297251556551167</stp>
        <tr r="G24" s="16"/>
      </tp>
      <tp t="s">
        <v>#N/A Requesting Data...3543287473</v>
        <stp/>
        <stp>BDP|5471682957765813291</stp>
        <tr r="F103" s="16"/>
      </tp>
      <tp t="s">
        <v>#N/A Requesting Data...2511422918</v>
        <stp/>
        <stp>BDP|7986332408621807409</stp>
        <tr r="H100" s="14"/>
      </tp>
      <tp t="s">
        <v>#N/A N/A</v>
        <stp/>
        <stp>BDP|1021261486213236987</stp>
        <tr r="R14" s="1"/>
      </tp>
      <tp t="s">
        <v>#N/A Requesting Data...2384150237</v>
        <stp/>
        <stp>BDP|6839699464547625098</stp>
        <tr r="AB49" s="14"/>
        <tr r="AB49" s="14"/>
      </tp>
      <tp t="s">
        <v>#N/A N/A</v>
        <stp/>
        <stp>BDP|4465138170137983443</stp>
        <tr r="U11" s="5"/>
      </tp>
      <tp t="s">
        <v>#N/A Requesting Data...2819689791</v>
        <stp/>
        <stp>BDP|6822422263840596566</stp>
        <tr r="I51" s="14"/>
      </tp>
      <tp t="s">
        <v>#N/A N/A</v>
        <stp/>
        <stp>BDH|6350899184550317774</stp>
        <tr r="X26" s="6"/>
      </tp>
      <tp t="s">
        <v>#N/A Requesting Data...2597971208</v>
        <stp/>
        <stp>BDP|6447462707934914776</stp>
        <tr r="AU109" s="14"/>
      </tp>
      <tp t="s">
        <v>#N/A N/A</v>
        <stp/>
        <stp>BDP|1780022983440923847</stp>
        <tr r="P16" s="7"/>
      </tp>
      <tp t="s">
        <v>#N/A N/A</v>
        <stp/>
        <stp>BDP|5511369536612814662</stp>
        <tr r="T18" s="14"/>
        <tr r="T18" s="14"/>
      </tp>
      <tp t="s">
        <v>#N/A Requesting Data...2757823377</v>
        <stp/>
        <stp>BDP|7041596553237499156</stp>
        <tr r="AD103" s="14"/>
      </tp>
      <tp t="s">
        <v>#N/A Requesting Data...2524753022</v>
        <stp/>
        <stp>BDP|9287291193623133022</stp>
        <tr r="AF33" s="14"/>
      </tp>
      <tp t="s">
        <v>#N/A N/A</v>
        <stp/>
        <stp>BDP|5897910811325281911</stp>
        <tr r="T57" s="14"/>
        <tr r="T57" s="14"/>
      </tp>
      <tp t="s">
        <v>#N/A Requesting Data...2923221215</v>
        <stp/>
        <stp>BDP|3198240140843607783</stp>
        <tr r="AQ65" s="14"/>
      </tp>
      <tp t="s">
        <v>#N/A N/A</v>
        <stp/>
        <stp>BDP|1903233047467577108</stp>
        <tr r="V12" s="7"/>
      </tp>
      <tp t="s">
        <v>#N/A Requesting Data...2640855128</v>
        <stp/>
        <stp>BDP|7456717630152899052</stp>
        <tr r="AR20" s="14"/>
      </tp>
      <tp t="s">
        <v>#N/A Requesting Data...1556239850</v>
        <stp/>
        <stp>BDP|4390422406118745985</stp>
        <tr r="F64" s="14"/>
        <tr r="F64" s="14"/>
        <tr r="H62" s="16"/>
        <tr r="H62" s="16"/>
      </tp>
      <tp t="s">
        <v>#N/A Requesting Data...2572358288</v>
        <stp/>
        <stp>BDP|2875799529220756675</stp>
        <tr r="C25" s="14"/>
      </tp>
      <tp t="s">
        <v>#N/A Requesting Data...2742280324</v>
        <stp/>
        <stp>BDP|4926038028504858324</stp>
        <tr r="AF69" s="14"/>
      </tp>
      <tp t="s">
        <v>#N/A Requesting Data...2427589825</v>
        <stp/>
        <stp>BDP|3780236459916542303</stp>
        <tr r="AT92" s="14"/>
      </tp>
      <tp t="s">
        <v>#N/A Requesting Data...3046013324</v>
        <stp/>
        <stp>BDP|2359285076915586301</stp>
        <tr r="AS26" s="14"/>
      </tp>
      <tp t="s">
        <v>#N/A N/A</v>
        <stp/>
        <stp>BDP|4342329538866118301</stp>
        <tr r="G15" s="4"/>
      </tp>
      <tp t="s">
        <v>#N/A Requesting Data...2209850875</v>
        <stp/>
        <stp>BDP|8617697305048225702</stp>
        <tr r="G80" s="16"/>
      </tp>
      <tp t="s">
        <v>#N/A N/A</v>
        <stp/>
        <stp>BDS|6558771502933911302</stp>
        <tr r="AI19" s="14"/>
        <tr r="AI19" s="14"/>
        <tr r="AI18" s="14"/>
        <tr r="AI18" s="14"/>
      </tp>
      <tp t="s">
        <v>#N/A Requesting Data...1674075503</v>
        <stp/>
        <stp>BDP|8533583467772465872</stp>
        <tr r="F55" s="14"/>
        <tr r="F55" s="14"/>
        <tr r="H53" s="16"/>
        <tr r="H53" s="16"/>
      </tp>
      <tp t="s">
        <v>#N/A N/A</v>
        <stp/>
        <stp>BDP|3942591860436026790</stp>
        <tr r="P12" s="6"/>
      </tp>
      <tp t="s">
        <v>#N/A Requesting Data...1774902181</v>
        <stp/>
        <stp>BDP|2993054813224041668</stp>
        <tr r="AK29" s="14"/>
      </tp>
      <tp t="s">
        <v>#N/A Requesting Data...3088054688</v>
        <stp/>
        <stp>BDP|4507691825851092002</stp>
        <tr r="AO43" s="14"/>
        <tr r="AO43" s="14"/>
      </tp>
      <tp t="s">
        <v>#N/A Requesting Data...2801643258</v>
        <stp/>
        <stp>BDP|5972431465686468023</stp>
        <tr r="G21" s="16"/>
      </tp>
      <tp t="s">
        <v>#N/A Requesting Data...3595290923</v>
        <stp/>
        <stp>BDP|8104032985693854265</stp>
        <tr r="F92" s="14"/>
        <tr r="F92" s="14"/>
        <tr r="H90" s="16"/>
        <tr r="H90" s="16"/>
      </tp>
      <tp t="s">
        <v>#N/A Requesting Data...2142928221</v>
        <stp/>
        <stp>BDP|9194399207183564833</stp>
        <tr r="AQ99" s="14"/>
      </tp>
      <tp t="s">
        <v>#N/A Requesting Data...2884891320</v>
        <stp/>
        <stp>BDP|5082107201832963716</stp>
        <tr r="AR58" s="14"/>
      </tp>
      <tp t="s">
        <v>#N/A Requesting Data...2150336793</v>
        <stp/>
        <stp>BDP|8699096694812060226</stp>
        <tr r="F57" s="16"/>
      </tp>
      <tp t="s">
        <v>#N/A Requesting Data...2856754033</v>
        <stp/>
        <stp>BDP|4311193810903130656</stp>
        <tr r="AF30" s="14"/>
      </tp>
      <tp t="s">
        <v>#N/A Requesting Data...3175284722</v>
        <stp/>
        <stp>BDP|1208295174084771162</stp>
        <tr r="AU37" s="14"/>
      </tp>
      <tp t="s">
        <v>#N/A Requesting Data...1831423004</v>
        <stp/>
        <stp>BDP|2912032721533365262</stp>
        <tr r="V110" s="14"/>
      </tp>
      <tp t="s">
        <v>#N/A Requesting Data...1538769310</v>
        <stp/>
        <stp>BDP|4434797916404428716</stp>
        <tr r="AR72" s="14"/>
      </tp>
      <tp t="s">
        <v>#N/A Requesting Data...3617176810</v>
        <stp/>
        <stp>BDP|5902436212780266143</stp>
        <tr r="V38" s="14"/>
      </tp>
      <tp t="s">
        <v>#N/A Requesting Data...2261613043</v>
        <stp/>
        <stp>BDP|8100318359318713713</stp>
        <tr r="G18" s="14"/>
      </tp>
      <tp t="s">
        <v>#N/A Requesting Data...1947928649</v>
        <stp/>
        <stp>BDP|9637886101714380432</stp>
        <tr r="H18" s="1"/>
      </tp>
      <tp t="s">
        <v>#N/A N/A</v>
        <stp/>
        <stp>BDS|3374956229909269021</stp>
        <tr r="AI91" s="14"/>
        <tr r="AI91" s="14"/>
        <tr r="AI90" s="14"/>
        <tr r="AI90" s="14"/>
      </tp>
      <tp t="s">
        <v>#N/A Requesting Data...3500427593</v>
        <stp/>
        <stp>BDP|8269928208381146167</stp>
        <tr r="AN54" s="14"/>
      </tp>
      <tp t="s">
        <v>#N/A N/A</v>
        <stp/>
        <stp>BDP|5362001083765970962</stp>
        <tr r="K93" s="16"/>
        <tr r="K81" s="16"/>
        <tr r="K92" s="16"/>
      </tp>
      <tp t="s">
        <v>#N/A Requesting Data...3456351079</v>
        <stp/>
        <stp>BDP|3173696951225578431</stp>
        <tr r="AD45" s="14"/>
      </tp>
      <tp t="s">
        <v>#N/A Requesting Data...3180224662</v>
        <stp/>
        <stp>BDP|4813705999202608983</stp>
        <tr r="I44" s="14"/>
      </tp>
      <tp t="s">
        <v>#N/A Requesting Data...2495130651</v>
        <stp/>
        <stp>BDP|1433175489558119146</stp>
        <tr r="F50" s="16"/>
      </tp>
      <tp t="s">
        <v>#N/A N/A</v>
        <stp/>
        <stp>BDH|6970998098321316649</stp>
        <tr r="AI97" s="14"/>
        <tr r="AI98" s="14"/>
        <tr r="AI100" s="14"/>
        <tr r="AI99" s="14"/>
      </tp>
      <tp t="s">
        <v>#N/A Requesting Data...3058573638</v>
        <stp/>
        <stp>BDP|8231227536728386092</stp>
        <tr r="C16" s="16"/>
        <tr r="D18" s="14"/>
      </tp>
      <tp t="s">
        <v>#N/A N/A</v>
        <stp/>
        <stp>BDP|1749799454795377750</stp>
        <tr r="S18" s="1"/>
      </tp>
      <tp t="s">
        <v>#N/A Requesting Data...3405533169</v>
        <stp/>
        <stp>BDP|9312365690337894512</stp>
        <tr r="I20" s="14"/>
      </tp>
      <tp t="s">
        <v>#N/A N/A</v>
        <stp/>
        <stp>BDP|3293962359399320725</stp>
        <tr r="AA13" s="1"/>
      </tp>
      <tp t="s">
        <v>#N/A Requesting Data...3329875380</v>
        <stp/>
        <stp>BDP|5387345221970950530</stp>
        <tr r="E98" s="16"/>
      </tp>
      <tp t="s">
        <v>#N/A Requesting Data...3753936564</v>
        <stp/>
        <stp>BDP|1743260495552850906</stp>
        <tr r="H79" s="14"/>
      </tp>
      <tp t="s">
        <v>#N/A Requesting Data...2566165315</v>
        <stp/>
        <stp>BDP|8924141794607297679</stp>
        <tr r="AQ109" s="14"/>
      </tp>
      <tp t="s">
        <v>#N/A N/A</v>
        <stp/>
        <stp>BDP|4560674042412869547</stp>
        <tr r="T122" s="14"/>
        <tr r="T138" s="14"/>
        <tr r="T125" s="14"/>
        <tr r="T139" s="14"/>
        <tr r="T154" s="14"/>
        <tr r="T136" s="14"/>
        <tr r="T149" s="14"/>
        <tr r="T128" s="14"/>
        <tr r="T155" s="14"/>
        <tr r="T114" s="14"/>
        <tr r="T129" s="14"/>
        <tr r="T144" s="14"/>
        <tr r="T157" s="14"/>
        <tr r="T115" s="14"/>
        <tr r="T130" s="14"/>
        <tr r="T145" s="14"/>
        <tr r="T160" s="14"/>
        <tr r="T141" s="14"/>
        <tr r="T113" s="14"/>
        <tr r="T117" s="14"/>
        <tr r="T131" s="14"/>
        <tr r="T146" s="14"/>
        <tr r="T120" s="14"/>
        <tr r="T133" s="14"/>
        <tr r="T147" s="14"/>
        <tr r="T121" s="14"/>
        <tr r="T152" s="14"/>
        <tr r="T137" s="14"/>
        <tr r="T123" s="14"/>
        <tr r="T153" s="14"/>
        <tr r="T112" s="14"/>
        <tr r="T116" s="14"/>
        <tr r="T124" s="14"/>
        <tr r="T132" s="14"/>
        <tr r="T140" s="14"/>
        <tr r="T148" s="14"/>
        <tr r="T156" s="14"/>
        <tr r="T118" s="14"/>
        <tr r="T134" s="14"/>
        <tr r="T150" s="14"/>
        <tr r="T126" s="14"/>
        <tr r="T142" s="14"/>
        <tr r="T158" s="14"/>
        <tr r="T111" s="14"/>
        <tr r="T119" s="14"/>
        <tr r="T127" s="14"/>
        <tr r="T135" s="14"/>
        <tr r="T143" s="14"/>
        <tr r="T151" s="14"/>
        <tr r="T159" s="14"/>
      </tp>
      <tp t="s">
        <v>#N/A Requesting Data...4096275798</v>
        <stp/>
        <stp>BDP|7585361246241927010</stp>
        <tr r="AP22" s="14"/>
      </tp>
      <tp t="s">
        <v>#N/A Requesting Data...2190779241</v>
        <stp/>
        <stp>BDP|2341194052337611038</stp>
        <tr r="E9" s="16"/>
      </tp>
      <tp t="s">
        <v>#N/A N/A</v>
        <stp/>
        <stp>BDP|5547211011156087180</stp>
        <tr r="F12" s="6"/>
      </tp>
      <tp t="s">
        <v>#N/A N/A</v>
        <stp/>
        <stp>BDP|8358284200393256848</stp>
        <tr r="T70" s="14"/>
        <tr r="T70" s="14"/>
      </tp>
      <tp t="s">
        <v>#N/A Requesting Data...3204810867</v>
        <stp/>
        <stp>BDP|5245621825413876309</stp>
        <tr r="AU26" s="14"/>
      </tp>
      <tp t="s">
        <v>#N/A Requesting Data...1775286805</v>
        <stp/>
        <stp>BDP|5127891497385481069</stp>
        <tr r="D111" s="12"/>
      </tp>
      <tp t="s">
        <v>#N/A Requesting Data...2060296909</v>
        <stp/>
        <stp>BDP|8999597149868114055</stp>
        <tr r="G80" s="14"/>
      </tp>
      <tp t="s">
        <v>#N/A N/A</v>
        <stp/>
        <stp>BDP|1924714239437460381</stp>
        <tr r="S14" s="7"/>
      </tp>
      <tp t="s">
        <v>#N/A N/A</v>
        <stp/>
        <stp>BDP|9542931719396451667</stp>
        <tr r="T80" s="14"/>
        <tr r="T80" s="14"/>
      </tp>
      <tp t="s">
        <v>#N/A Requesting Data...1601742992</v>
        <stp/>
        <stp>BDP|7183857292734028341</stp>
        <tr r="AQ60" s="14"/>
      </tp>
      <tp t="s">
        <v>#N/A Requesting Data...3478393499</v>
        <stp/>
        <stp>BDP|3047673690654386963</stp>
        <tr r="C70" s="16"/>
        <tr r="D72" s="14"/>
      </tp>
      <tp t="s">
        <v>#N/A Requesting Data...1900838479</v>
        <stp/>
        <stp>BDP|5293712939290971014</stp>
        <tr r="AK33" s="14"/>
      </tp>
      <tp t="s">
        <v>#N/A Requesting Data...2129309241</v>
        <stp/>
        <stp>BDP|7705463453936169116</stp>
        <tr r="AL16" s="14"/>
      </tp>
      <tp t="s">
        <v>#N/A Requesting Data...2603388513</v>
        <stp/>
        <stp>BDP|6554770087620470838</stp>
        <tr r="K12" s="14"/>
      </tp>
      <tp t="s">
        <v>#N/A N/A</v>
        <stp/>
        <stp>BDP|5687905949179979047</stp>
        <tr r="D23" s="6"/>
      </tp>
      <tp t="s">
        <v>#N/A Requesting Data...2521822289</v>
        <stp/>
        <stp>BDP|6637288965052957102</stp>
        <tr r="AO85" s="14"/>
        <tr r="AO85" s="14"/>
      </tp>
      <tp t="s">
        <v>#N/A Requesting Data...2683810957</v>
        <stp/>
        <stp>BDP|6398680206883663294</stp>
        <tr r="AO60" s="14"/>
        <tr r="AO60" s="14"/>
      </tp>
      <tp t="s">
        <v>#N/A Requesting Data...3172846566</v>
        <stp/>
        <stp>BDP|7093559339281959174</stp>
        <tr r="K64" s="14"/>
      </tp>
      <tp t="s">
        <v>#N/A Requesting Data...1794142928</v>
        <stp/>
        <stp>BDP|2808842014339849326</stp>
        <tr r="AS67" s="14"/>
      </tp>
      <tp t="s">
        <v>#N/A Requesting Data...2418025865</v>
        <stp/>
        <stp>BDP|7127428632802712340</stp>
        <tr r="AU55" s="14"/>
      </tp>
      <tp t="s">
        <v>#N/A Requesting Data...3047162463</v>
        <stp/>
        <stp>BDP|3071541456155167714</stp>
        <tr r="G69" s="16"/>
      </tp>
      <tp t="s">
        <v>#N/A Requesting Data...1643003025</v>
        <stp/>
        <stp>BDP|6682020314043317500</stp>
        <tr r="AU83" s="14"/>
      </tp>
      <tp t="s">
        <v>#N/A Requesting Data...1980012510</v>
        <stp/>
        <stp>BDP|2858506452834047797</stp>
        <tr r="AP38" s="14"/>
      </tp>
      <tp t="s">
        <v>#N/A Requesting Data...3304372038</v>
        <stp/>
        <stp>BDP|2252591033863813637</stp>
        <tr r="AH47" s="14"/>
      </tp>
      <tp t="s">
        <v>#N/A N/A</v>
        <stp/>
        <stp>BDP|2153384419916100729</stp>
        <tr r="J23" s="1"/>
      </tp>
      <tp t="s">
        <v>#N/A Requesting Data...3312679606</v>
        <stp/>
        <stp>BDP|6042922005186176851</stp>
        <tr r="AO87" s="14"/>
        <tr r="AO87" s="14"/>
      </tp>
      <tp t="s">
        <v>#N/A Requesting Data...1785959816</v>
        <stp/>
        <stp>BDP|2083107255535618209</stp>
        <tr r="I19" s="14"/>
      </tp>
      <tp t="s">
        <v>#N/A N/A</v>
        <stp/>
        <stp>BDP|8059565824407427950</stp>
        <tr r="N21" s="6"/>
      </tp>
      <tp t="s">
        <v>#N/A Requesting Data...1554044674</v>
        <stp/>
        <stp>BDP|3538885094906812517</stp>
        <tr r="F33" s="14"/>
        <tr r="F33" s="14"/>
        <tr r="H31" s="16"/>
        <tr r="H31" s="16"/>
      </tp>
      <tp t="s">
        <v>#N/A N/A</v>
        <stp/>
        <stp>BDP|8656490939818048665</stp>
        <tr r="J45" s="14"/>
        <tr r="J45" s="14"/>
      </tp>
      <tp t="s">
        <v>#N/A N/A</v>
        <stp/>
        <stp>BDP|2770027737339493966</stp>
        <tr r="R17" s="1"/>
      </tp>
      <tp t="s">
        <v>#N/A N/A</v>
        <stp/>
        <stp>BDP|2496557260082894296</stp>
        <tr r="Z40" s="14"/>
      </tp>
      <tp t="s">
        <v>#N/A N/A</v>
        <stp/>
        <stp>BDH|3165504822560447570</stp>
        <tr r="AE66" s="14"/>
      </tp>
      <tp t="s">
        <v>#N/A N/A</v>
        <stp/>
        <stp>BDP|8451052177089399746</stp>
        <tr r="V23" s="7"/>
      </tp>
      <tp t="s">
        <v>#N/A Requesting Data...4144433902</v>
        <stp/>
        <stp>BDP|3125537832995430155</stp>
        <tr r="C22" s="16"/>
        <tr r="D24" s="14"/>
      </tp>
      <tp t="s">
        <v>#N/A N/A</v>
        <stp/>
        <stp>BDP|3763277320636596444</stp>
        <tr r="H13" s="1"/>
      </tp>
      <tp t="s">
        <v>#N/A N/A</v>
        <stp/>
        <stp>BDP|1242565442996112764</stp>
        <tr r="P19" s="7"/>
      </tp>
      <tp t="s">
        <v>#N/A N/A</v>
        <stp/>
        <stp>BDP|3099748177684308618</stp>
        <tr r="AC22" s="1"/>
      </tp>
      <tp t="s">
        <v>#N/A N/A</v>
        <stp/>
        <stp>BDP|2592309722700631205</stp>
        <tr r="P20" s="7"/>
      </tp>
      <tp t="s">
        <v>#N/A Requesting Data...1611742429</v>
        <stp/>
        <stp>BDP|5602304506185320227</stp>
        <tr r="AM103" s="14"/>
      </tp>
      <tp t="s">
        <v>#N/A N/A</v>
        <stp/>
        <stp>BDP|1972212868875486157</stp>
        <tr r="D25" s="6"/>
      </tp>
      <tp t="s">
        <v>#N/A Requesting Data...1909886399</v>
        <stp/>
        <stp>BDP|3819595930143351735</stp>
        <tr r="C66" s="16"/>
        <tr r="D68" s="14"/>
      </tp>
      <tp t="s">
        <v>#N/A N/A</v>
        <stp/>
        <stp>BDP|7899588820856372728</stp>
        <tr r="G19" s="1"/>
      </tp>
      <tp t="s">
        <v>#N/A Requesting Data...2963155014</v>
        <stp/>
        <stp>BDP|5745328485079514634</stp>
        <tr r="AK16" s="14"/>
      </tp>
      <tp t="s">
        <v>#N/A Requesting Data...4231832334</v>
        <stp/>
        <stp>BDP|1504603547144436608</stp>
        <tr r="V62" s="14"/>
      </tp>
      <tp t="s">
        <v>#N/A Requesting Data...3699624562</v>
        <stp/>
        <stp>BDP|4979392597377781861</stp>
        <tr r="AB57" s="14"/>
        <tr r="AB57" s="14"/>
      </tp>
      <tp t="s">
        <v>#N/A N/A</v>
        <stp/>
        <stp>BDP|5298342988726919912</stp>
        <tr r="AJ14" s="1"/>
      </tp>
      <tp t="s">
        <v>#N/A Requesting Data...3616504752</v>
        <stp/>
        <stp>BDP|4592752138585896464</stp>
        <tr r="AK24" s="14"/>
      </tp>
      <tp t="s">
        <v>#N/A Requesting Data...2003386356</v>
        <stp/>
        <stp>BDP|3283261850290784551</stp>
        <tr r="G67" s="16"/>
      </tp>
      <tp t="s">
        <v>#N/A N/A</v>
        <stp/>
        <stp>BDP|8288529580327651305</stp>
        <tr r="T28" s="14"/>
        <tr r="T28" s="14"/>
      </tp>
      <tp t="s">
        <v>#N/A N/A</v>
        <stp/>
        <stp>BDP|4465423320351127211</stp>
        <tr r="F26" s="6"/>
      </tp>
      <tp t="s">
        <v>#N/A Requesting Data...3934401201</v>
        <stp/>
        <stp>BDP|5419057425413461560</stp>
        <tr r="AM108" s="14"/>
      </tp>
      <tp t="s">
        <v>#N/A Requesting Data...4091549770</v>
        <stp/>
        <stp>BDP|1132030003160020076</stp>
        <tr r="AL91" s="14"/>
        <tr r="AL90" s="14"/>
      </tp>
      <tp t="s">
        <v>#N/A Requesting Data...1975377224</v>
        <stp/>
        <stp>BDP|5543932350581658960</stp>
        <tr r="AK106" s="14"/>
      </tp>
      <tp t="s">
        <v>#N/A N/A</v>
        <stp/>
        <stp>BDH|9663517634166220872</stp>
        <tr r="X17" s="6"/>
      </tp>
      <tp t="s">
        <v>#N/A N/A</v>
        <stp/>
        <stp>BDH|6935414321929680890</stp>
        <tr r="AI84" s="14"/>
      </tp>
      <tp t="s">
        <v>#N/A N/A</v>
        <stp/>
        <stp>BDH|1795018616787763619</stp>
        <tr r="Y16" s="6"/>
      </tp>
      <tp t="s">
        <v>#N/A N/A</v>
        <stp/>
        <stp>BDS|6699215628682012583</stp>
        <tr r="AI80" s="14"/>
        <tr r="AI80" s="14"/>
      </tp>
      <tp t="s">
        <v>#N/A Requesting Data...2841067915</v>
        <stp/>
        <stp>BDP|2668603418397093395</stp>
        <tr r="AN85" s="14"/>
      </tp>
      <tp t="s">
        <v>#N/A N/A</v>
        <stp/>
        <stp>BDP|4099622806126259515</stp>
        <tr r="S21" s="6"/>
      </tp>
      <tp t="s">
        <v>#N/A Requesting Data...3571394731</v>
        <stp/>
        <stp>BDP|7873027353910846362</stp>
        <tr r="AT64" s="14"/>
      </tp>
      <tp t="s">
        <v>#N/A Requesting Data...1621437722</v>
        <stp/>
        <stp>BDP|9439803286351693935</stp>
        <tr r="I73" s="14"/>
      </tp>
      <tp t="s">
        <v>#N/A Requesting Data...2283037598</v>
        <stp/>
        <stp>BDP|9121836250302413715</stp>
        <tr r="C17" s="14"/>
      </tp>
      <tp t="s">
        <v>#N/A Requesting Data...2869176592</v>
        <stp/>
        <stp>BDP|8145425003994095974</stp>
        <tr r="AO22" s="14"/>
        <tr r="AO22" s="14"/>
      </tp>
      <tp t="s">
        <v>#N/A N/A</v>
        <stp/>
        <stp>BDP|6698705361025213328</stp>
        <tr r="I11" s="7"/>
      </tp>
      <tp t="s">
        <v>#N/A Requesting Data...3808315790</v>
        <stp/>
        <stp>BDP|9877353515099667396</stp>
        <tr r="E93" s="16"/>
      </tp>
      <tp t="s">
        <v>#N/A N/A</v>
        <stp/>
        <stp>BDH|1100240004040130270</stp>
        <tr r="AE65" s="14"/>
      </tp>
      <tp t="s">
        <v>#N/A N/A</v>
        <stp/>
        <stp>BDP|4887112947854327498</stp>
        <tr r="AA14" s="1"/>
      </tp>
      <tp t="s">
        <v>#N/A N/A</v>
        <stp/>
        <stp>BDP|8640714528284816838</stp>
        <tr r="Q40" s="14"/>
      </tp>
      <tp t="s">
        <v>#N/A N/A</v>
        <stp/>
        <stp>BDP|6947393527873066534</stp>
        <tr r="D14" s="6"/>
      </tp>
      <tp t="s">
        <v>#N/A Requesting Data...1626619269</v>
        <stp/>
        <stp>BDP|7694880004077934976</stp>
        <tr r="AQ49" s="14"/>
      </tp>
      <tp t="s">
        <v>#N/A N/A</v>
        <stp/>
        <stp>BDP|4179273277252596203</stp>
        <tr r="H15" s="4"/>
      </tp>
      <tp t="s">
        <v>#N/A Requesting Data...2202706713</v>
        <stp/>
        <stp>BDP|2498649711760477411</stp>
        <tr r="AM70" s="14"/>
      </tp>
      <tp t="s">
        <v>#N/A Requesting Data...3838292243</v>
        <stp/>
        <stp>BDP|5465719918153994107</stp>
        <tr r="AO76" s="14"/>
        <tr r="AO76" s="14"/>
      </tp>
      <tp t="s">
        <v>#N/A Requesting Data...3491035047</v>
        <stp/>
        <stp>BDP|3320669291874173913</stp>
        <tr r="K59" s="14"/>
      </tp>
      <tp t="s">
        <v>#N/A N/A</v>
        <stp/>
        <stp>BDH|6324965593362400562</stp>
        <tr r="AN16" s="1"/>
      </tp>
      <tp t="s">
        <v>#N/A N/A</v>
        <stp/>
        <stp>BDH|3851467896677457887</stp>
        <tr r="AI23" s="14"/>
      </tp>
      <tp t="s">
        <v>#N/A Requesting Data...2455339384</v>
        <stp/>
        <stp>BDP|2699957535650170924</stp>
        <tr r="F16" s="12"/>
      </tp>
      <tp t="s">
        <v>#N/A N/A</v>
        <stp/>
        <stp>BDP|5156180804784173198</stp>
        <tr r="AC17" s="1"/>
      </tp>
      <tp t="s">
        <v>#N/A Requesting Data...4106726799</v>
        <stp/>
        <stp>BDP|6318756104412080276</stp>
        <tr r="K48" s="14"/>
      </tp>
      <tp t="s">
        <v>#N/A Requesting Data...4021816211</v>
        <stp/>
        <stp>BDP|9488920852300774460</stp>
        <tr r="AF15" s="14"/>
      </tp>
      <tp t="s">
        <v>#N/A Requesting Data...2129006706</v>
        <stp/>
        <stp>BDP|4290314165282329202</stp>
        <tr r="AE73" s="14"/>
      </tp>
      <tp t="s">
        <v>#N/A Requesting Data...2791775265</v>
        <stp/>
        <stp>BDP|8981098269787919856</stp>
        <tr r="I94" s="14"/>
      </tp>
      <tp t="s">
        <v>#N/A Requesting Data...2083439327</v>
        <stp/>
        <stp>BDP|6804791504443330331</stp>
        <tr r="AM14" s="14"/>
      </tp>
      <tp t="s">
        <v>#N/A N/A</v>
        <stp/>
        <stp>BDP|7031172926310500515</stp>
        <tr r="U17" s="7"/>
      </tp>
      <tp t="s">
        <v>#N/A N/A</v>
        <stp/>
        <stp>BDP|7915159571637576421</stp>
        <tr r="U21" s="7"/>
      </tp>
      <tp t="s">
        <v>#N/A Requesting Data...2597534004</v>
        <stp/>
        <stp>BDP|2877272874880248534</stp>
        <tr r="AT58" s="14"/>
      </tp>
      <tp t="s">
        <v>#N/A Requesting Data...2395542485</v>
        <stp/>
        <stp>BDP|5025840819946039877</stp>
        <tr r="I62" s="14"/>
        <tr r="I62" s="14"/>
      </tp>
      <tp t="s">
        <v>#N/A Requesting Data...2494350524</v>
        <stp/>
        <stp>BDP|7919537153130288510</stp>
        <tr r="AK78" s="14"/>
      </tp>
      <tp t="s">
        <v>#N/A N/A</v>
        <stp/>
        <stp>BDP|8437115635879819120</stp>
        <tr r="AB23" s="1"/>
      </tp>
      <tp t="s">
        <v>#N/A Requesting Data...2308353680</v>
        <stp/>
        <stp>BDP|7185428796670644893</stp>
        <tr r="AB12" s="14"/>
        <tr r="AB12" s="14"/>
      </tp>
      <tp t="s">
        <v>#N/A Requesting Data...2368002378</v>
        <stp/>
        <stp>BDP|6913432507403229356</stp>
        <tr r="AM54" s="14"/>
      </tp>
      <tp t="s">
        <v>#N/A Requesting Data...3251096907</v>
        <stp/>
        <stp>BDP|9725070645597760882</stp>
        <tr r="I82" s="14"/>
      </tp>
      <tp t="s">
        <v>#N/A N/A</v>
        <stp/>
        <stp>BDS|1271640827567347083</stp>
        <tr r="AI109" s="14"/>
        <tr r="AI109" s="14"/>
      </tp>
      <tp t="s">
        <v>#N/A N/A</v>
        <stp/>
        <stp>BDP|6960776067435749046</stp>
        <tr r="U18" s="6"/>
      </tp>
      <tp t="s">
        <v>#N/A N/A</v>
        <stp/>
        <stp>BDH|3297186066060002661</stp>
        <tr r="AE108" s="14"/>
      </tp>
      <tp t="s">
        <v>#N/A Requesting Data...1651042667</v>
        <stp/>
        <stp>BDP|6748854219899084408</stp>
        <tr r="G27" s="14"/>
      </tp>
      <tp t="s">
        <v>#N/A Requesting Data...1874664093</v>
        <stp/>
        <stp>BDP|4037799452752468640</stp>
        <tr r="AF43" s="14"/>
      </tp>
      <tp t="s">
        <v>#N/A Requesting Data...1992054984</v>
        <stp/>
        <stp>BDP|4061248728062772405</stp>
        <tr r="I19" s="1"/>
      </tp>
      <tp t="s">
        <v>#N/A Requesting Data...3078525330</v>
        <stp/>
        <stp>BDP|7931457043797419203</stp>
        <tr r="AU19" s="14"/>
      </tp>
      <tp t="s">
        <v>#N/A Requesting Data...2448137788</v>
        <stp/>
        <stp>BDP|2543017951782966772</stp>
        <tr r="I81" s="14"/>
      </tp>
      <tp t="s">
        <v>#N/A N/A</v>
        <stp/>
        <stp>BDP|6709337353096905457</stp>
        <tr r="D20" s="7"/>
      </tp>
      <tp t="s">
        <v>#N/A Requesting Data...3187614338</v>
        <stp/>
        <stp>BDP|3579960399530946184</stp>
        <tr r="E100" s="16"/>
      </tp>
      <tp t="s">
        <v>#N/A Requesting Data...2916715482</v>
        <stp/>
        <stp>BDP|9823729993883463661</stp>
        <tr r="G56" s="14"/>
      </tp>
      <tp t="s">
        <v>#N/A N/A</v>
        <stp/>
        <stp>BDS|8863213196843613229</stp>
        <tr r="M52" s="12"/>
      </tp>
      <tp t="s">
        <v>#N/A N/A</v>
        <stp/>
        <stp>BDP|2845209952173028427</stp>
        <tr r="J22" s="14"/>
        <tr r="J22" s="14"/>
      </tp>
      <tp t="s">
        <v>#N/A N/A</v>
        <stp/>
        <stp>BDP|2677119207332169391</stp>
        <tr r="G14" s="7"/>
      </tp>
      <tp t="s">
        <v>#N/A N/A</v>
        <stp/>
        <stp>BDP|3845405869836165580</stp>
        <tr r="AH74" s="14"/>
        <tr r="AH74" s="14"/>
      </tp>
      <tp t="s">
        <v>#N/A Requesting Data...3412294044</v>
        <stp/>
        <stp>BDP|1268046044647936035</stp>
        <tr r="AD32" s="14"/>
      </tp>
      <tp t="s">
        <v>#N/A Requesting Data...3048259369</v>
        <stp/>
        <stp>BDP|5534562078772608756</stp>
        <tr r="AU101" s="14"/>
      </tp>
      <tp t="s">
        <v>#N/A Requesting Data...2811386476</v>
        <stp/>
        <stp>BDP|3061595047739036964</stp>
        <tr r="AP78" s="14"/>
      </tp>
      <tp t="s">
        <v>#N/A N/A</v>
        <stp/>
        <stp>BDP|4832594738442142202</stp>
        <tr r="J53" s="14"/>
        <tr r="J53" s="14"/>
      </tp>
      <tp t="s">
        <v>#N/A Requesting Data...3708358645</v>
        <stp/>
        <stp>BDP|2010666304372833421</stp>
        <tr r="AO50" s="14"/>
        <tr r="AO50" s="14"/>
      </tp>
      <tp t="s">
        <v>#N/A N/A</v>
        <stp/>
        <stp>BDP|4116942350302964840</stp>
        <tr r="AH84" s="14"/>
        <tr r="AH84" s="14"/>
      </tp>
      <tp t="s">
        <v>#N/A N/A</v>
        <stp/>
        <stp>BDH|4586788935937274526</stp>
        <tr r="Y25" s="6"/>
      </tp>
      <tp t="s">
        <v>#N/A Requesting Data...3216968001</v>
        <stp/>
        <stp>BDP|4915072709696987074</stp>
        <tr r="F63" s="16"/>
      </tp>
      <tp t="s">
        <v>#N/A Requesting Data...1763150012</v>
        <stp/>
        <stp>BDP|4923135931096687247</stp>
        <tr r="F47" s="16"/>
      </tp>
      <tp t="s">
        <v>#N/A Requesting Data...4167479620</v>
        <stp/>
        <stp>BDP|5768770578957434051</stp>
        <tr r="E105" s="16"/>
      </tp>
      <tp t="s">
        <v>#N/A Requesting Data...2711920465</v>
        <stp/>
        <stp>BDP|5025139182578084684</stp>
        <tr r="AR27" s="14"/>
      </tp>
      <tp t="s">
        <v>#N/A N/A</v>
        <stp/>
        <stp>BDS|2367198721271355218</stp>
        <tr r="AI83" s="14"/>
        <tr r="AI83" s="14"/>
      </tp>
      <tp t="s">
        <v>#N/A Requesting Data...3219367927</v>
        <stp/>
        <stp>BDP|1297940429480232848</stp>
        <tr r="AN51" s="14"/>
      </tp>
      <tp t="s">
        <v>#N/A Requesting Data...4205979439</v>
        <stp/>
        <stp>BDP|3061633342914822776</stp>
        <tr r="K93" s="14"/>
        <tr r="K93" s="14"/>
      </tp>
      <tp t="s">
        <v>#N/A Requesting Data...3374381231</v>
        <stp/>
        <stp>BDP|6109918992371414582</stp>
        <tr r="AE31" s="14"/>
      </tp>
      <tp t="s">
        <v>#N/A Requesting Data...3263199164</v>
        <stp/>
        <stp>BDP|6794568239824542630</stp>
        <tr r="AB62" s="14"/>
        <tr r="AB62" s="14"/>
      </tp>
      <tp t="s">
        <v>#N/A Requesting Data...3234193578</v>
        <stp/>
        <stp>BDP|2918008756797023212</stp>
        <tr r="E62" s="16"/>
      </tp>
      <tp t="s">
        <v>#N/A Requesting Data...3762104267</v>
        <stp/>
        <stp>BDP|4230999772140136869</stp>
        <tr r="AM57" s="14"/>
      </tp>
      <tp t="s">
        <v>#N/A N/A</v>
        <stp/>
        <stp>BDP|4464302138785617341</stp>
        <tr r="W17" s="6"/>
      </tp>
      <tp t="s">
        <v>#N/A Requesting Data...3431428485</v>
        <stp/>
        <stp>BDP|9847940842503525550</stp>
        <tr r="AB68" s="14"/>
        <tr r="AB68" s="14"/>
      </tp>
      <tp t="s">
        <v>#N/A N/A</v>
        <stp/>
        <stp>BDP|8099119236108866012</stp>
        <tr r="Y11" s="4"/>
      </tp>
      <tp t="s">
        <v>#N/A Requesting Data...2937373499</v>
        <stp/>
        <stp>BDP|5041320939915021258</stp>
        <tr r="AU43" s="14"/>
      </tp>
      <tp t="s">
        <v>#N/A Requesting Data...3096452490</v>
        <stp/>
        <stp>BDP|9696283985144051558</stp>
        <tr r="AE48" s="14"/>
      </tp>
      <tp t="s">
        <v>#N/A Requesting Data...3560183510</v>
        <stp/>
        <stp>BDP|2870988086769923808</stp>
        <tr r="K22" s="1"/>
      </tp>
      <tp t="s">
        <v>#N/A N/A</v>
        <stp/>
        <stp>BDS|8446300482512154385</stp>
        <tr r="AI95" s="14"/>
        <tr r="AI95" s="14"/>
        <tr r="AI85" s="14"/>
        <tr r="AI85" s="14"/>
      </tp>
      <tp t="s">
        <v>#N/A Requesting Data...4085401159</v>
        <stp/>
        <stp>BDP|5622876396175859302</stp>
        <tr r="AS24" s="14"/>
      </tp>
      <tp t="s">
        <v>#N/A N/A</v>
        <stp/>
        <stp>BDP|5057381840574275453</stp>
        <tr r="I39" s="16"/>
        <tr r="I40" s="16"/>
        <tr r="I82" s="16"/>
      </tp>
      <tp t="s">
        <v>#N/A Requesting Data...2568738956</v>
        <stp/>
        <stp>BDP|5987698089861766819</stp>
        <tr r="AM105" s="14"/>
      </tp>
      <tp t="s">
        <v>#N/A N/A</v>
        <stp/>
        <stp>BDH|4577594721153706258</stp>
        <tr r="W19" s="7"/>
      </tp>
      <tp t="s">
        <v>#N/A Requesting Data...3659829156</v>
        <stp/>
        <stp>BDP|7637030176164803678</stp>
        <tr r="AR26" s="14"/>
      </tp>
      <tp t="s">
        <v>#N/A Requesting Data...2280664942</v>
        <stp/>
        <stp>BDP|5302624807578858929</stp>
        <tr r="AT77" s="14"/>
      </tp>
      <tp t="s">
        <v>#N/A N/A</v>
        <stp/>
        <stp>BDP|5610612870682292491</stp>
        <tr r="J81" s="14"/>
        <tr r="J81" s="14"/>
      </tp>
      <tp t="s">
        <v>#N/A Requesting Data...3236290718</v>
        <stp/>
        <stp>BDP|9779444283263472485</stp>
        <tr r="AD93" s="14"/>
      </tp>
      <tp t="s">
        <v>#N/A N/A</v>
        <stp/>
        <stp>BDP|1133789366557755548</stp>
        <tr r="V13" s="7"/>
      </tp>
      <tp t="s">
        <v>#N/A Requesting Data...2580981389</v>
        <stp/>
        <stp>BDP|7896920891210195560</stp>
        <tr r="F78" s="14"/>
        <tr r="F78" s="14"/>
        <tr r="H76" s="16"/>
        <tr r="H76" s="16"/>
      </tp>
      <tp t="s">
        <v>#N/A Requesting Data...3639784942</v>
        <stp/>
        <stp>BDP|3567380251107245026</stp>
        <tr r="AP21" s="14"/>
      </tp>
      <tp t="s">
        <v>#N/A Requesting Data...4103850796</v>
        <stp/>
        <stp>BDP|3116280052087148162</stp>
        <tr r="D110" s="12"/>
      </tp>
      <tp t="s">
        <v>#N/A Requesting Data...2594625897</v>
        <stp/>
        <stp>BDP|7197628051455923370</stp>
        <tr r="AS94" s="14"/>
      </tp>
      <tp t="s">
        <v>#N/A Requesting Data...3420895896</v>
        <stp/>
        <stp>BDP|6833953621259684673</stp>
        <tr r="G39" s="16"/>
      </tp>
      <tp t="s">
        <v>#N/A N/A</v>
        <stp/>
        <stp>BDP|1991452141164115713</stp>
        <tr r="S16" s="6"/>
      </tp>
      <tp t="s">
        <v>#N/A Requesting Data...1996075193</v>
        <stp/>
        <stp>BDP|7157057541881124090</stp>
        <tr r="G53" s="12"/>
      </tp>
      <tp t="s">
        <v>#N/A N/A</v>
        <stp/>
        <stp>BDP|1972569454573660001</stp>
        <tr r="L107" s="16"/>
        <tr r="L104" s="16"/>
      </tp>
      <tp t="s">
        <v>#N/A Requesting Data...3697105417</v>
        <stp/>
        <stp>BDP|1127580706066625041</stp>
        <tr r="D38" s="16"/>
        <tr r="E40" s="14"/>
      </tp>
      <tp t="s">
        <v>#N/A Requesting Data...1680171158</v>
        <stp/>
        <stp>BDP|3318060559236269235</stp>
        <tr r="AP110" s="14"/>
      </tp>
      <tp t="s">
        <v>#N/A N/A</v>
        <stp/>
        <stp>BDP|2787339525555876443</stp>
        <tr r="P14" s="6"/>
      </tp>
      <tp t="s">
        <v>#N/A N/A</v>
        <stp/>
        <stp>BDP|5239416514374233680</stp>
        <tr r="D17" s="7"/>
      </tp>
      <tp t="s">
        <v>#N/A Requesting Data...3788119387</v>
        <stp/>
        <stp>BDP|2800231642440694628</stp>
        <tr r="I12" s="12"/>
      </tp>
      <tp t="s">
        <v>#N/A N/A</v>
        <stp/>
        <stp>BDH|7426277055974842638</stp>
        <tr r="AE89" s="14"/>
      </tp>
      <tp t="s">
        <v>#N/A Requesting Data...3471372917</v>
        <stp/>
        <stp>BDP|4498375844240326165</stp>
        <tr r="I31" s="14"/>
        <tr r="I31" s="14"/>
      </tp>
      <tp t="s">
        <v>#N/A N/A</v>
        <stp/>
        <stp>BDP|4631304123287255059</stp>
        <tr r="F17" s="1"/>
      </tp>
      <tp t="s">
        <v>#N/A Requesting Data...3166319044</v>
        <stp/>
        <stp>BDP|4845548901932829179</stp>
        <tr r="D21" s="1"/>
      </tp>
      <tp t="s">
        <v>#N/A N/A</v>
        <stp/>
        <stp>BDP|7243145200113572719</stp>
        <tr r="N22" s="6"/>
      </tp>
      <tp t="s">
        <v>#N/A Requesting Data...2116678882</v>
        <stp/>
        <stp>BDP|6211866343698193048</stp>
        <tr r="I53" s="14"/>
      </tp>
      <tp t="s">
        <v>#N/A Requesting Data...1937644897</v>
        <stp/>
        <stp>BDP|5525091356132940013</stp>
        <tr r="G84" s="16"/>
      </tp>
      <tp t="s">
        <v>#N/A N/A</v>
        <stp/>
        <stp>BDP|5305769146315160108</stp>
        <tr r="E17" s="1"/>
      </tp>
      <tp t="s">
        <v>#N/A Requesting Data...4203261232</v>
        <stp/>
        <stp>BDP|4033145305853098433</stp>
        <tr r="AB99" s="14"/>
        <tr r="AB99" s="14"/>
      </tp>
      <tp t="s">
        <v>#N/A Requesting Data...2683299989</v>
        <stp/>
        <stp>BDP|9951110792236074587</stp>
        <tr r="AM106" s="14"/>
      </tp>
      <tp t="s">
        <v>#N/A Requesting Data...3710971675</v>
        <stp/>
        <stp>BDP|7610596505481869103</stp>
        <tr r="E86" s="16"/>
      </tp>
      <tp t="s">
        <v>#N/A N/A</v>
        <stp/>
        <stp>BDP|4354014908904826211</stp>
        <tr r="H16" s="1"/>
      </tp>
      <tp t="s">
        <v>#N/A Requesting Data...2981626730</v>
        <stp/>
        <stp>BDP|4723180786927936832</stp>
        <tr r="AU93" s="14"/>
      </tp>
      <tp t="s">
        <v>#N/A Requesting Data...4039266632</v>
        <stp/>
        <stp>BDP|1025449771349302957</stp>
        <tr r="AT104" s="14"/>
      </tp>
      <tp t="s">
        <v>#N/A Requesting Data...3541062558</v>
        <stp/>
        <stp>BDP|9128354954928339503</stp>
        <tr r="AB43" s="14"/>
        <tr r="AB43" s="14"/>
      </tp>
      <tp t="s">
        <v>#N/A Requesting Data...4284691947</v>
        <stp/>
        <stp>BDP|9216078646298103715</stp>
        <tr r="D25" s="1"/>
        <tr r="D13" s="5"/>
        <tr r="D24" s="1"/>
        <tr r="D16" s="4"/>
        <tr r="D12" s="5"/>
        <tr r="D26" s="1"/>
        <tr r="D28" s="1"/>
        <tr r="D21" s="4"/>
        <tr r="D18" s="4"/>
        <tr r="D17" s="4"/>
        <tr r="D19" s="4"/>
        <tr r="D20" s="4"/>
        <tr r="D27" s="1"/>
      </tp>
      <tp t="s">
        <v>#N/A Requesting Data...4177364700</v>
        <stp/>
        <stp>BDP|5407459910116314417</stp>
        <tr r="H50" s="16"/>
        <tr r="H50" s="16"/>
        <tr r="F52" s="14"/>
        <tr r="F52" s="14"/>
      </tp>
      <tp t="s">
        <v>#N/A Requesting Data...4207618879</v>
        <stp/>
        <stp>BDP|5240341715297663260</stp>
        <tr r="F69" s="14"/>
        <tr r="F69" s="14"/>
        <tr r="H67" s="16"/>
        <tr r="H67" s="16"/>
      </tp>
      <tp t="s">
        <v>#N/A N/A</v>
        <stp/>
        <stp>BDP|1309075241512057567</stp>
        <tr r="AH40" s="14"/>
        <tr r="AH40" s="14"/>
      </tp>
      <tp t="s">
        <v>#N/A Requesting Data...2256570597</v>
        <stp/>
        <stp>BDP|4553361604012797738</stp>
        <tr r="G50" s="14"/>
      </tp>
      <tp t="s">
        <v>#N/A N/A</v>
        <stp/>
        <stp>BDP|5843289036776762028</stp>
        <tr r="AH79" s="14"/>
        <tr r="AH79" s="14"/>
      </tp>
      <tp t="s">
        <v>#N/A Requesting Data...1718980930</v>
        <stp/>
        <stp>BDP|3309927273077565845</stp>
        <tr r="AQ95" s="14"/>
      </tp>
      <tp t="s">
        <v>#N/A N/A</v>
        <stp/>
        <stp>BDP|2544941598374199485</stp>
        <tr r="Q93" s="14"/>
        <tr r="Q93" s="14"/>
      </tp>
      <tp t="s">
        <v>#N/A Requesting Data...4120068607</v>
        <stp/>
        <stp>BDP|2950107863804350395</stp>
        <tr r="AK51" s="14"/>
      </tp>
      <tp t="s">
        <v>#N/A Requesting Data...1818406007</v>
        <stp/>
        <stp>BDP|3720502573276478508</stp>
        <tr r="AS16" s="14"/>
      </tp>
      <tp t="s">
        <v>#N/A N/A</v>
        <stp/>
        <stp>BDS|5646126736352781759</stp>
        <tr r="AI76" s="14"/>
        <tr r="AI76" s="14"/>
      </tp>
      <tp t="s">
        <v>#N/A N/A</v>
        <stp/>
        <stp>BDP|8883371617309881107</stp>
        <tr r="Z96" s="14"/>
      </tp>
      <tp t="s">
        <v>#N/A N/A</v>
        <stp/>
        <stp>BDP|4453676201306356610</stp>
        <tr r="F13" s="7"/>
      </tp>
      <tp t="s">
        <v>#N/A Requesting Data...2213417578</v>
        <stp/>
        <stp>BDP|4503631264155662341</stp>
        <tr r="AB67" s="14"/>
        <tr r="AB67" s="14"/>
      </tp>
      <tp t="s">
        <v>#N/A N/A</v>
        <stp/>
        <stp>BDH|7315196955000668190</stp>
        <tr r="AE109" s="14"/>
      </tp>
      <tp t="s">
        <v>#N/A Requesting Data...2020846735</v>
        <stp/>
        <stp>BDP|9590434153369312375</stp>
        <tr r="AQ93" s="14"/>
      </tp>
      <tp t="s">
        <v>#N/A Requesting Data...2010778486</v>
        <stp/>
        <stp>BDP|7115232473415134518</stp>
        <tr r="H12" s="14"/>
      </tp>
      <tp t="s">
        <v>#N/A Requesting Data...1670048577</v>
        <stp/>
        <stp>BDP|3489032555697607350</stp>
        <tr r="K84" s="14"/>
      </tp>
      <tp t="s">
        <v>#N/A Requesting Data...1938115217</v>
        <stp/>
        <stp>BDP|1942374349222197674</stp>
        <tr r="AK41" s="14"/>
      </tp>
      <tp t="s">
        <v>#N/A Requesting Data...2565651656</v>
        <stp/>
        <stp>BDP|8362889210887804426</stp>
        <tr r="AH107" s="14"/>
      </tp>
      <tp t="s">
        <v>#N/A Requesting Data...3392651624</v>
        <stp/>
        <stp>BDP|2825716456213610184</stp>
        <tr r="AL63" s="14"/>
      </tp>
      <tp t="s">
        <v>#N/A N/A</v>
        <stp/>
        <stp>BDP|6762376002630333707</stp>
        <tr r="F19" s="7"/>
      </tp>
      <tp t="s">
        <v>#N/A Requesting Data...3693171993</v>
        <stp/>
        <stp>BDP|1082692940205057488</stp>
        <tr r="AN14" s="14"/>
      </tp>
      <tp t="s">
        <v>#N/A N/A</v>
        <stp/>
        <stp>BDP|3464166158370858533</stp>
        <tr r="I24" s="6"/>
      </tp>
      <tp t="s">
        <v>#N/A Requesting Data...1817197283</v>
        <stp/>
        <stp>BDP|3150564691709062476</stp>
        <tr r="F96" s="16"/>
      </tp>
      <tp t="s">
        <v>#N/A Requesting Data...4267008478</v>
        <stp/>
        <stp>BDP|3451894839563050957</stp>
        <tr r="F10" s="16"/>
      </tp>
      <tp t="s">
        <v>#N/A Requesting Data...3797064010</v>
        <stp/>
        <stp>BDP|4798745995678838082</stp>
        <tr r="AP33" s="14"/>
      </tp>
      <tp t="s">
        <v>#N/A Requesting Data...3425127269</v>
        <stp/>
        <stp>BDP|3793113944063423703</stp>
        <tr r="AK18" s="14"/>
      </tp>
      <tp t="s">
        <v>#N/A Requesting Data...2190670287</v>
        <stp/>
        <stp>BDP|4279062847896442415</stp>
        <tr r="AO64" s="14"/>
        <tr r="AO64" s="14"/>
      </tp>
      <tp t="s">
        <v>#N/A Requesting Data...1951975487</v>
        <stp/>
        <stp>BDP|5427634975653172555</stp>
        <tr r="AU11" s="14"/>
      </tp>
      <tp t="s">
        <v>#N/A Requesting Data...2936985997</v>
        <stp/>
        <stp>BDP|6200451761500670666</stp>
        <tr r="AB31" s="14"/>
        <tr r="AB31" s="14"/>
      </tp>
      <tp t="s">
        <v>#N/A N/A</v>
        <stp/>
        <stp>BDS|4004344942879529858</stp>
        <tr r="AI33" s="14"/>
        <tr r="AI33" s="14"/>
      </tp>
      <tp t="s">
        <v>#N/A N/A</v>
        <stp/>
        <stp>BDP|8109855464487745312</stp>
        <tr r="D15" s="6"/>
      </tp>
      <tp t="s">
        <v>#N/A N/A</v>
        <stp/>
        <stp>BDP|3371005979917989155</stp>
        <tr r="AA11" s="1"/>
      </tp>
      <tp t="s">
        <v>#N/A Requesting Data...2715446012</v>
        <stp/>
        <stp>BDP|1790178068910790488</stp>
        <tr r="AM18" s="14"/>
      </tp>
      <tp t="s">
        <v>#N/A Requesting Data...3602086031</v>
        <stp/>
        <stp>BDP|2958633818171692636</stp>
        <tr r="AF55" s="14"/>
      </tp>
      <tp t="s">
        <v>#N/A Requesting Data...2268996651</v>
        <stp/>
        <stp>BDP|1359218047537201203</stp>
        <tr r="AD27" s="14"/>
      </tp>
      <tp t="s">
        <v>#N/A Requesting Data...3922100192</v>
        <stp/>
        <stp>BDP|2266344603641685246</stp>
        <tr r="V70" s="14"/>
      </tp>
      <tp t="s">
        <v>#N/A Requesting Data...4211046637</v>
        <stp/>
        <stp>BDP|5859289245122348315</stp>
        <tr r="AM33" s="14"/>
      </tp>
      <tp t="s">
        <v>#N/A Requesting Data...2481024379</v>
        <stp/>
        <stp>BDP|5169538336417568662</stp>
        <tr r="C89" s="14"/>
      </tp>
      <tp t="s">
        <v>#N/A Requesting Data...2970509720</v>
        <stp/>
        <stp>BDP|7313694680748424391</stp>
        <tr r="AN33" s="14"/>
      </tp>
      <tp t="s">
        <v>#N/A Requesting Data...3087566311</v>
        <stp/>
        <stp>BDP|6575642235213148220</stp>
        <tr r="K15" s="14"/>
      </tp>
      <tp t="s">
        <v>#N/A Requesting Data...2367953374</v>
        <stp/>
        <stp>BDP|1861893772258502413</stp>
        <tr r="G70" s="16"/>
      </tp>
      <tp t="s">
        <v>#N/A Requesting Data...3817766579</v>
        <stp/>
        <stp>BDP|7003015207652107704</stp>
        <tr r="AL32" s="14"/>
      </tp>
      <tp t="s">
        <v>#N/A N/A</v>
        <stp/>
        <stp>BDH|2737408422191417764</stp>
        <tr r="AI17" s="14"/>
      </tp>
      <tp t="s">
        <v>#N/A N/A</v>
        <stp/>
        <stp>BDP|2683395948383762442</stp>
        <tr r="E14" s="6"/>
      </tp>
      <tp t="s">
        <v>#N/A Requesting Data...2253536357</v>
        <stp/>
        <stp>BDP|1517276700702131379</stp>
        <tr r="AU86" s="14"/>
      </tp>
      <tp t="s">
        <v>#N/A Requesting Data...4181360445</v>
        <stp/>
        <stp>BDP|6652828682421649547</stp>
        <tr r="D57" s="16"/>
        <tr r="E59" s="14"/>
      </tp>
      <tp t="s">
        <v>#N/A Requesting Data...3733913197</v>
        <stp/>
        <stp>BDP|6193642235667209660</stp>
        <tr r="AD104" s="14"/>
      </tp>
      <tp t="s">
        <v>#N/A Requesting Data...2771420306</v>
        <stp/>
        <stp>BDP|9861309010181472884</stp>
        <tr r="D84" s="14"/>
        <tr r="C82" s="16"/>
      </tp>
      <tp t="s">
        <v>#N/A Requesting Data...4189524881</v>
        <stp/>
        <stp>BDP|7500103259962108399</stp>
        <tr r="AK56" s="14"/>
      </tp>
      <tp t="s">
        <v>#N/A Requesting Data...2912944388</v>
        <stp/>
        <stp>BDP|4371077825014454010</stp>
        <tr r="AK50" s="14"/>
      </tp>
      <tp t="s">
        <v>#N/A N/A</v>
        <stp/>
        <stp>BDP|9139833049143980470</stp>
        <tr r="T56" s="14"/>
        <tr r="T56" s="14"/>
      </tp>
      <tp t="s">
        <v>#N/A N/A</v>
        <stp/>
        <stp>BDP|1645715315997576227</stp>
        <tr r="L81" s="16"/>
        <tr r="L92" s="16"/>
        <tr r="L93" s="16"/>
      </tp>
      <tp t="s">
        <v>#N/A Requesting Data...3492475991</v>
        <stp/>
        <stp>BDP|3651782220001898534</stp>
        <tr r="AN59" s="14"/>
      </tp>
      <tp t="s">
        <v>#N/A Requesting Data...2291849023</v>
        <stp/>
        <stp>BDP|9826769637398841740</stp>
        <tr r="I102" s="14"/>
      </tp>
      <tp t="s">
        <v>#N/A Requesting Data...2440562235</v>
        <stp/>
        <stp>BDP|9514247218140411889</stp>
        <tr r="AQ59" s="14"/>
      </tp>
      <tp t="s">
        <v>#N/A N/A</v>
        <stp/>
        <stp>BDP|9398205322368525312</stp>
        <tr r="P14" s="7"/>
      </tp>
      <tp t="s">
        <v>#N/A Requesting Data...2826757171</v>
        <stp/>
        <stp>BDP|2121324632875000540</stp>
        <tr r="E108" s="16"/>
      </tp>
      <tp t="s">
        <v>#N/A Requesting Data...2414653903</v>
        <stp/>
        <stp>BDP|7604644706901687274</stp>
        <tr r="AF37" s="14"/>
      </tp>
      <tp t="s">
        <v>#N/A N/A</v>
        <stp/>
        <stp>BDP|4947074608561116725</stp>
        <tr r="G19" s="7"/>
      </tp>
      <tp t="s">
        <v>#N/A Requesting Data...3939311989</v>
        <stp/>
        <stp>BDP|7446908637928501736</stp>
        <tr r="D65" s="16"/>
        <tr r="E67" s="14"/>
      </tp>
      <tp t="s">
        <v>#N/A N/A</v>
        <stp/>
        <stp>BDP|1029197636572308392</stp>
        <tr r="E14" s="4"/>
      </tp>
      <tp t="s">
        <v>#N/A Requesting Data...3940072119</v>
        <stp/>
        <stp>BDP|6161014761403140156</stp>
        <tr r="AB79" s="14"/>
        <tr r="AB79" s="14"/>
      </tp>
      <tp t="s">
        <v>#N/A Requesting Data...2777233787</v>
        <stp/>
        <stp>BDP|7382353039494657031</stp>
        <tr r="C86" s="14"/>
      </tp>
      <tp t="s">
        <v>#N/A N/A</v>
        <stp/>
        <stp>BDP|6804724677173081670</stp>
        <tr r="T13" s="7"/>
      </tp>
      <tp t="s">
        <v>#N/A Requesting Data...1886934624</v>
        <stp/>
        <stp>BDP|1635961844978918776</stp>
        <tr r="E39" s="16"/>
      </tp>
      <tp t="s">
        <v>#N/A Requesting Data...3466606277</v>
        <stp/>
        <stp>BDP|2238244255121127784</stp>
        <tr r="H48" s="16"/>
        <tr r="H48" s="16"/>
        <tr r="F50" s="14"/>
        <tr r="F50" s="14"/>
      </tp>
      <tp t="s">
        <v>#N/A Requesting Data...4144975391</v>
        <stp/>
        <stp>BDP|5432404899132453936</stp>
        <tr r="AT100" s="14"/>
      </tp>
      <tp t="s">
        <v>#N/A Requesting Data...1941497326</v>
        <stp/>
        <stp>BDP|1382832985983748183</stp>
        <tr r="H25" s="14"/>
      </tp>
      <tp t="s">
        <v>#N/A Requesting Data...3130257310</v>
        <stp/>
        <stp>BDP|8762057534058904056</stp>
        <tr r="AT94" s="14"/>
      </tp>
      <tp t="s">
        <v>#N/A Requesting Data...2883376596</v>
        <stp/>
        <stp>BDP|9769694933599519621</stp>
        <tr r="G86" s="14"/>
      </tp>
      <tp t="s">
        <v>#N/A N/A</v>
        <stp/>
        <stp>BDP|6465162812096290394</stp>
        <tr r="T16" s="6"/>
      </tp>
      <tp t="s">
        <v>#N/A Requesting Data...2293831956</v>
        <stp/>
        <stp>BDP|8412888148097969066</stp>
        <tr r="AE36" s="14"/>
      </tp>
      <tp t="s">
        <v>#N/A Requesting Data...2772280586</v>
        <stp/>
        <stp>BDP|6734698467593562671</stp>
        <tr r="AQ84" s="14"/>
      </tp>
      <tp t="s">
        <v>#N/A Requesting Data...3483610456</v>
        <stp/>
        <stp>BDP|5842550511096657419</stp>
        <tr r="AT22" s="14"/>
      </tp>
      <tp t="s">
        <v>#N/A N/A</v>
        <stp/>
        <stp>BDP|6081460052380677496</stp>
        <tr r="L49" s="16"/>
      </tp>
      <tp t="s">
        <v>#N/A Requesting Data...2394131889</v>
        <stp/>
        <stp>BDP|1572303025807808431</stp>
        <tr r="AN34" s="14"/>
      </tp>
      <tp t="s">
        <v>#N/A Requesting Data...2528471985</v>
        <stp/>
        <stp>BDP|7329405011806844715</stp>
        <tr r="AH74" s="14"/>
      </tp>
      <tp t="s">
        <v>#N/A Requesting Data...2131516363</v>
        <stp/>
        <stp>BDP|3936974159105512996</stp>
        <tr r="AP82" s="14"/>
      </tp>
      <tp t="s">
        <v>#N/A Requesting Data...4171170901</v>
        <stp/>
        <stp>BDP|7591003668640554238</stp>
        <tr r="C105" s="12"/>
      </tp>
      <tp t="s">
        <v>#N/A Requesting Data...2405471684</v>
        <stp/>
        <stp>BDP|8439304253839868448</stp>
        <tr r="I103" s="14"/>
        <tr r="I103" s="14"/>
      </tp>
      <tp t="s">
        <v>#N/A Requesting Data...3721489033</v>
        <stp/>
        <stp>BDP|4798561740776996037</stp>
        <tr r="K109" s="14"/>
      </tp>
      <tp t="s">
        <v>#N/A Requesting Data...2933614257</v>
        <stp/>
        <stp>BDP|4909262514272079607</stp>
        <tr r="G88" s="14"/>
      </tp>
      <tp t="s">
        <v>#N/A Requesting Data...2008020648</v>
        <stp/>
        <stp>BDP|8469983838609859876</stp>
        <tr r="E71" s="14"/>
        <tr r="D69" s="16"/>
      </tp>
      <tp t="s">
        <v>#N/A Requesting Data...3903618818</v>
        <stp/>
        <stp>BDP|6294300789557478949</stp>
        <tr r="F45" s="16"/>
      </tp>
      <tp t="s">
        <v>#N/A Requesting Data...4169127980</v>
        <stp/>
        <stp>BDP|1629008039212337379</stp>
        <tr r="AK65" s="14"/>
      </tp>
      <tp t="s">
        <v>#N/A Requesting Data...1758429685</v>
        <stp/>
        <stp>BDP|5204923620029204496</stp>
        <tr r="AM56" s="14"/>
      </tp>
      <tp t="s">
        <v>#N/A Requesting Data...1825702021</v>
        <stp/>
        <stp>BDP|5207523684539668294</stp>
        <tr r="AK37" s="14"/>
      </tp>
      <tp t="s">
        <v>#N/A N/A</v>
        <stp/>
        <stp>BDP|6576891030718661610</stp>
        <tr r="V24" s="7"/>
      </tp>
      <tp t="s">
        <v>#N/A N/A</v>
        <stp/>
        <stp>BDH|1970961200149485207</stp>
        <tr r="AE11" s="4"/>
      </tp>
      <tp t="s">
        <v>#N/A Requesting Data...1958259684</v>
        <stp/>
        <stp>BDP|5451913968918042152</stp>
        <tr r="G74" s="16"/>
      </tp>
      <tp t="s">
        <v>#N/A N/A</v>
        <stp/>
        <stp>BDP|6712672728996016703</stp>
        <tr r="AK17" s="1"/>
      </tp>
      <tp t="s">
        <v>#N/A N/A</v>
        <stp/>
        <stp>BDP|1944633558900240181</stp>
        <tr r="D14" s="1"/>
      </tp>
      <tp t="s">
        <v>#N/A Requesting Data...3791048226</v>
        <stp/>
        <stp>BDP|2137760376857934602</stp>
        <tr r="AP59" s="14"/>
      </tp>
      <tp t="s">
        <v>#N/A Requesting Data...3977076194</v>
        <stp/>
        <stp>BDP|2334201843837027082</stp>
        <tr r="E37" s="16"/>
      </tp>
      <tp t="s">
        <v>#N/A Requesting Data...3149999603</v>
        <stp/>
        <stp>BDP|3777636608941544711</stp>
        <tr r="AQ68" s="14"/>
      </tp>
      <tp t="s">
        <v>#N/A Requesting Data...3448050926</v>
        <stp/>
        <stp>BDP|1402379530586863436</stp>
        <tr r="AH35" s="14"/>
      </tp>
      <tp t="s">
        <v>#N/A Requesting Data...1897589476</v>
        <stp/>
        <stp>BDP|9593672284760841467</stp>
        <tr r="AB28" s="14"/>
        <tr r="AB28" s="14"/>
      </tp>
      <tp t="s">
        <v>#N/A N/A</v>
        <stp/>
        <stp>BDP|4086996413328549776</stp>
        <tr r="I84" s="16"/>
        <tr r="I86" s="16"/>
        <tr r="I87" s="16"/>
      </tp>
      <tp t="s">
        <v>#N/A Requesting Data...3782963305</v>
        <stp/>
        <stp>BDP|3621297860112129668</stp>
        <tr r="AK30" s="14"/>
      </tp>
      <tp t="s">
        <v>#N/A Requesting Data...2007907292</v>
        <stp/>
        <stp>BDP|7004285476958758917</stp>
        <tr r="AQ62" s="14"/>
      </tp>
      <tp t="s">
        <v>#N/A Requesting Data...3617089250</v>
        <stp/>
        <stp>BDP|5326088846576782424</stp>
        <tr r="AB53" s="14"/>
        <tr r="AB53" s="14"/>
      </tp>
      <tp t="s">
        <v>#N/A Requesting Data...2356293602</v>
        <stp/>
        <stp>BDP|7306786661740150531</stp>
        <tr r="AH67" s="14"/>
      </tp>
      <tp t="s">
        <v>#N/A Requesting Data...4168451385</v>
        <stp/>
        <stp>BDP|9424189666549323419</stp>
        <tr r="AD66" s="14"/>
      </tp>
      <tp t="s">
        <v>#N/A Requesting Data...2154142402</v>
        <stp/>
        <stp>BDP|9375644511089839464</stp>
        <tr r="AQ39" s="14"/>
      </tp>
      <tp t="s">
        <v>#N/A Requesting Data...4007019586</v>
        <stp/>
        <stp>BDP|3076439468867399516</stp>
        <tr r="AB103" s="14"/>
        <tr r="AB103" s="14"/>
      </tp>
      <tp t="s">
        <v>#N/A N/A</v>
        <stp/>
        <stp>BDP|9754895710310412338</stp>
        <tr r="AH71" s="14"/>
        <tr r="AH71" s="14"/>
      </tp>
      <tp t="s">
        <v>#N/A Requesting Data...4275762597</v>
        <stp/>
        <stp>BDP|9914603661759048310</stp>
        <tr r="AB55" s="14"/>
        <tr r="AB55" s="14"/>
      </tp>
      <tp t="s">
        <v>#N/A N/A</v>
        <stp/>
        <stp>BDP|2160809689991508046</stp>
        <tr r="I9" s="16"/>
      </tp>
      <tp t="s">
        <v>#N/A Requesting Data...3936551591</v>
        <stp/>
        <stp>BDP|8020697905978694535</stp>
        <tr r="AP58" s="14"/>
      </tp>
      <tp t="s">
        <v>#N/A Requesting Data...4237860838</v>
        <stp/>
        <stp>BDP|9471890536763121234</stp>
        <tr r="F19" s="16"/>
      </tp>
      <tp t="s">
        <v>#N/A N/A</v>
        <stp/>
        <stp>BDP|9921252085975035577</stp>
        <tr r="J79" s="16"/>
        <tr r="J80" s="16"/>
        <tr r="J78" s="16"/>
      </tp>
      <tp t="s">
        <v>#N/A Requesting Data...2393559120</v>
        <stp/>
        <stp>BDP|4835717034996375506</stp>
        <tr r="G60" s="16"/>
      </tp>
      <tp t="s">
        <v>#N/A Requesting Data...1929204764</v>
        <stp/>
        <stp>BDP|8692367958959339455</stp>
        <tr r="AR15" s="14"/>
      </tp>
      <tp t="s">
        <v>#N/A Requesting Data...3662039733</v>
        <stp/>
        <stp>BDP|1102127343486707190</stp>
        <tr r="V74" s="14"/>
      </tp>
      <tp t="s">
        <v>#N/A Requesting Data...3720688797</v>
        <stp/>
        <stp>BDP|8861960023432338203</stp>
        <tr r="H26" s="16"/>
        <tr r="H26" s="16"/>
        <tr r="F28" s="14"/>
        <tr r="F28" s="14"/>
      </tp>
      <tp t="s">
        <v>#N/A Requesting Data...2982536806</v>
        <stp/>
        <stp>BDP|8916418972818422007</stp>
        <tr r="K56" s="14"/>
      </tp>
      <tp t="s">
        <v>#N/A Requesting Data...2646243346</v>
        <stp/>
        <stp>BDP|6480531808949230934</stp>
        <tr r="H96" s="14"/>
      </tp>
      <tp t="s">
        <v>#N/A N/A</v>
        <stp/>
        <stp>BDH|4837105015844224318</stp>
        <tr r="AN12" s="1"/>
      </tp>
      <tp t="s">
        <v>#N/A N/A</v>
        <stp/>
        <stp>BDH|7888312087568807787</stp>
        <tr r="AI103" s="14"/>
        <tr r="AI105" s="14"/>
        <tr r="AI104" s="14"/>
        <tr r="AI107" s="14"/>
      </tp>
      <tp t="s">
        <v>#N/A N/A</v>
        <stp/>
        <stp>BDP|6989320232071463425</stp>
        <tr r="T15" s="7"/>
      </tp>
      <tp t="s">
        <v>#N/A Requesting Data...3422407187</v>
        <stp/>
        <stp>BDP|1280729828984703305</stp>
        <tr r="E94" s="16"/>
      </tp>
      <tp t="s">
        <v>#N/A Requesting Data...3454056841</v>
        <stp/>
        <stp>BDP|3925788621906665399</stp>
        <tr r="AU75" s="14"/>
      </tp>
      <tp t="s">
        <v>#N/A Requesting Data...4286927824</v>
        <stp/>
        <stp>BDP|6108410738024196666</stp>
        <tr r="V96" s="14"/>
      </tp>
      <tp t="s">
        <v>#N/A Requesting Data...3861708805</v>
        <stp/>
        <stp>BDP|4477733899241631874</stp>
        <tr r="F65" s="16"/>
      </tp>
      <tp t="s">
        <v>#N/A Requesting Data...3727433798</v>
        <stp/>
        <stp>BDP|8265860218472004030</stp>
        <tr r="AN16" s="14"/>
      </tp>
      <tp t="s">
        <v>#N/A Requesting Data...4074763499</v>
        <stp/>
        <stp>BDP|3194084903984114443</stp>
        <tr r="E22" s="1"/>
      </tp>
      <tp t="s">
        <v>#N/A N/A</v>
        <stp/>
        <stp>BDH|2509669088856641925</stp>
        <tr r="Y15" s="6"/>
      </tp>
      <tp t="s">
        <v>#N/A Requesting Data...3849736403</v>
        <stp/>
        <stp>BDP|8008031785853225087</stp>
        <tr r="AM82" s="14"/>
      </tp>
      <tp t="s">
        <v>#N/A Requesting Data...1963638158</v>
        <stp/>
        <stp>BDP|9863517227568488560</stp>
        <tr r="AM100" s="14"/>
      </tp>
      <tp t="s">
        <v>#N/A Requesting Data...2502374842</v>
        <stp/>
        <stp>BDP|6139351155261540287</stp>
        <tr r="AT87" s="14"/>
      </tp>
      <tp t="s">
        <v>#N/A Requesting Data...3673763195</v>
        <stp/>
        <stp>BDP|3898776501595245208</stp>
        <tr r="K69" s="14"/>
      </tp>
      <tp t="s">
        <v>#N/A Requesting Data...3955833134</v>
        <stp/>
        <stp>BDP|3657576100981923457</stp>
        <tr r="J11" s="4"/>
      </tp>
      <tp t="s">
        <v>#N/A N/A</v>
        <stp/>
        <stp>BDP|5203356527120885751</stp>
        <tr r="Z93" s="14"/>
      </tp>
      <tp t="s">
        <v>#N/A Requesting Data...2183194042</v>
        <stp/>
        <stp>BDP|3301796936773600772</stp>
        <tr r="AE68" s="14"/>
      </tp>
      <tp t="s">
        <v>#N/A Requesting Data...4156120579</v>
        <stp/>
        <stp>BDP|2555769931926762381</stp>
        <tr r="D65" s="12"/>
      </tp>
      <tp t="s">
        <v>#N/A Requesting Data...2743626358</v>
        <stp/>
        <stp>BDP|1683736234884402283</stp>
        <tr r="AD74" s="14"/>
      </tp>
      <tp t="s">
        <v>#N/A Requesting Data...3174121960</v>
        <stp/>
        <stp>BDP|2191560804361577544</stp>
        <tr r="E66" s="14"/>
        <tr r="D64" s="16"/>
      </tp>
      <tp t="s">
        <v>#N/A Requesting Data...2882684097</v>
        <stp/>
        <stp>BDP|7791773635385662514</stp>
        <tr r="F62" s="16"/>
      </tp>
      <tp t="s">
        <v>#N/A Requesting Data...3005920254</v>
        <stp/>
        <stp>BDP|8654428323049709427</stp>
        <tr r="V15" s="14"/>
      </tp>
      <tp t="s">
        <v>#N/A N/A</v>
        <stp/>
        <stp>BDS|9036342476827509957</stp>
        <tr r="AI17" s="14"/>
        <tr r="AI17" s="14"/>
      </tp>
      <tp t="s">
        <v>#N/A Requesting Data...3329889851</v>
        <stp/>
        <stp>BDP|2382003276832774408</stp>
        <tr r="C12" s="14"/>
      </tp>
      <tp t="s">
        <v>#N/A Requesting Data...4205514505</v>
        <stp/>
        <stp>BDP|4151322057356421724</stp>
        <tr r="AP26" s="14"/>
      </tp>
      <tp t="s">
        <v>#N/A N/A</v>
        <stp/>
        <stp>BDH|3763108938141426394</stp>
        <tr r="X23" s="6"/>
      </tp>
      <tp t="s">
        <v>#N/A N/A</v>
        <stp/>
        <stp>BDH|5110568914365422757</stp>
        <tr r="AI73" s="14"/>
      </tp>
      <tp t="s">
        <v>#N/A Requesting Data...2372773518</v>
        <stp/>
        <stp>BDP|9361215188978824811</stp>
        <tr r="C98" s="12"/>
      </tp>
      <tp t="s">
        <v>#N/A N/A</v>
        <stp/>
        <stp>BDS|2578835206258690152</stp>
        <tr r="AI26" s="14"/>
        <tr r="AI26" s="14"/>
        <tr r="AI27" s="14"/>
        <tr r="AI27" s="14"/>
      </tp>
      <tp t="s">
        <v>#N/A Requesting Data...3486067401</v>
        <stp/>
        <stp>BDP|1824698859526864732</stp>
        <tr r="AH52" s="14"/>
      </tp>
      <tp t="s">
        <v>#N/A Requesting Data...2870384408</v>
        <stp/>
        <stp>BDP|5892051859176712505</stp>
        <tr r="D58" s="16"/>
        <tr r="E60" s="14"/>
      </tp>
      <tp t="s">
        <v>#N/A Requesting Data...3467133996</v>
        <stp/>
        <stp>BDP|6896350057700133381</stp>
        <tr r="G103" s="14"/>
      </tp>
      <tp t="s">
        <v>#N/A Requesting Data...2440562053</v>
        <stp/>
        <stp>BDP|3228609100460736660</stp>
        <tr r="AK86" s="14"/>
      </tp>
      <tp t="s">
        <v>#N/A N/A</v>
        <stp/>
        <stp>BDP|7136408113531280038</stp>
        <tr r="I66" s="16"/>
      </tp>
      <tp t="s">
        <v>#N/A Requesting Data...2505365829</v>
        <stp/>
        <stp>BDP|4267148686157382906</stp>
        <tr r="E95" s="16"/>
      </tp>
      <tp t="s">
        <v>#N/A Requesting Data...2113241666</v>
        <stp/>
        <stp>BDP|2094225535222763238</stp>
        <tr r="D108" s="14"/>
        <tr r="C106" s="16"/>
      </tp>
      <tp t="s">
        <v>#N/A Requesting Data...2727470544</v>
        <stp/>
        <stp>BDP|4728226012214420038</stp>
        <tr r="H72" s="16"/>
        <tr r="H72" s="16"/>
        <tr r="F74" s="14"/>
        <tr r="F74" s="14"/>
      </tp>
      <tp t="s">
        <v>#N/A Requesting Data...3328414404</v>
        <stp/>
        <stp>BDP|9307407899984372398</stp>
        <tr r="D101" s="12"/>
      </tp>
      <tp t="s">
        <v>#N/A Requesting Data...4250563165</v>
        <stp/>
        <stp>BDP|7259408256377183257</stp>
        <tr r="I43" s="14"/>
      </tp>
      <tp t="s">
        <v>#N/A Requesting Data...2459750267</v>
        <stp/>
        <stp>BDP|4085168094577459861</stp>
        <tr r="E85" s="16"/>
      </tp>
      <tp t="s">
        <v>#N/A Requesting Data...2028248603</v>
        <stp/>
        <stp>BDP|4114866491683117573</stp>
        <tr r="F72" s="16"/>
      </tp>
      <tp t="s">
        <v>#N/A Requesting Data...2986159162</v>
        <stp/>
        <stp>BDP|8114227008171961823</stp>
        <tr r="C83" s="12"/>
      </tp>
      <tp t="s">
        <v>#N/A Requesting Data...3550556376</v>
        <stp/>
        <stp>BDP|7573030955944399502</stp>
        <tr r="AH58" s="14"/>
      </tp>
      <tp t="s">
        <v>#N/A Requesting Data...2084225949</v>
        <stp/>
        <stp>BDP|4272734939522169194</stp>
        <tr r="H41" s="16"/>
        <tr r="H41" s="16"/>
        <tr r="F43" s="14"/>
        <tr r="F43" s="14"/>
      </tp>
      <tp t="s">
        <v>#N/A N/A</v>
        <stp/>
        <stp>BDP|5109023422356928286</stp>
        <tr r="K23" s="1"/>
      </tp>
      <tp t="s">
        <v>#N/A N/A</v>
        <stp/>
        <stp>BDH|9434251793141754055</stp>
        <tr r="AI40" s="14"/>
      </tp>
      <tp t="s">
        <v>#N/A Requesting Data...3984761964</v>
        <stp/>
        <stp>BDP|1374543572197785736</stp>
        <tr r="F44" s="16"/>
      </tp>
      <tp t="s">
        <v>#N/A Requesting Data...3100976214</v>
        <stp/>
        <stp>BDP|3377945792718416808</stp>
        <tr r="AP28" s="14"/>
      </tp>
      <tp t="s">
        <v>#N/A Requesting Data...3298832076</v>
        <stp/>
        <stp>BDP|8149722851939186029</stp>
        <tr r="K63" s="14"/>
      </tp>
      <tp t="s">
        <v>#N/A Requesting Data...1889398054</v>
        <stp/>
        <stp>BDP|1771335194969036116</stp>
        <tr r="AF16" s="14"/>
      </tp>
      <tp t="s">
        <v>#N/A Requesting Data...4080635063</v>
        <stp/>
        <stp>BDP|5148953914918850695</stp>
        <tr r="AK21" s="14"/>
      </tp>
      <tp t="s">
        <v>#N/A Requesting Data...3000893388</v>
        <stp/>
        <stp>BDP|5526528039010696093</stp>
        <tr r="AQ63" s="14"/>
      </tp>
      <tp t="s">
        <v>#N/A N/A</v>
        <stp/>
        <stp>BDP|4552834042569653232</stp>
        <tr r="L60" s="16"/>
        <tr r="L65" s="16"/>
        <tr r="L73" s="16"/>
        <tr r="L74" s="16"/>
        <tr r="L75" s="16"/>
        <tr r="L100" s="16"/>
        <tr r="L11" s="16"/>
      </tp>
      <tp t="s">
        <v>#N/A Requesting Data...3827420035</v>
        <stp/>
        <stp>BDP|3529948990306787675</stp>
        <tr r="C25" s="16"/>
        <tr r="D27" s="14"/>
      </tp>
      <tp t="s">
        <v>#N/A Requesting Data...3243167792</v>
        <stp/>
        <stp>BDP|2873387462294141022</stp>
        <tr r="AM65" s="14"/>
      </tp>
      <tp t="s">
        <v>#N/A Requesting Data...2767062871</v>
        <stp/>
        <stp>BDP|6996481378161821773</stp>
        <tr r="AO70" s="14"/>
        <tr r="AO70" s="14"/>
      </tp>
      <tp t="s">
        <v>#N/A N/A</v>
        <stp/>
        <stp>BDS|6083494918243476332</stp>
        <tr r="AI22" s="14"/>
        <tr r="AI22" s="14"/>
      </tp>
      <tp t="s">
        <v>#N/A Requesting Data...2340582760</v>
        <stp/>
        <stp>BDP|5136358976562659020</stp>
        <tr r="G69" s="14"/>
      </tp>
      <tp t="s">
        <v>#N/A Requesting Data...2881390681</v>
        <stp/>
        <stp>BDP|4681346260835685724</stp>
        <tr r="AL44" s="14"/>
      </tp>
      <tp t="s">
        <v>#N/A Requesting Data...2876807394</v>
        <stp/>
        <stp>BDP|1587851426481809987</stp>
        <tr r="AF68" s="14"/>
      </tp>
      <tp t="s">
        <v>#N/A Requesting Data...3503919425</v>
        <stp/>
        <stp>BDP|5328390170505893744</stp>
        <tr r="AE50" s="14"/>
      </tp>
      <tp t="s">
        <v>#N/A Requesting Data...3720897724</v>
        <stp/>
        <stp>BDP|6060014347581712078</stp>
        <tr r="AB89" s="14"/>
        <tr r="AB89" s="14"/>
      </tp>
      <tp t="s">
        <v>#N/A N/A</v>
        <stp/>
        <stp>BDP|2031038056074520069</stp>
        <tr r="R19" s="1"/>
      </tp>
      <tp t="s">
        <v>#N/A N/A</v>
        <stp/>
        <stp>BDS|2588582919860518576</stp>
        <tr r="AI37" s="14"/>
        <tr r="AI37" s="14"/>
      </tp>
      <tp t="s">
        <v>#N/A Requesting Data...1907772138</v>
        <stp/>
        <stp>BDP|3351150016372458238</stp>
        <tr r="G109" s="14"/>
      </tp>
      <tp t="s">
        <v>#N/A Requesting Data...2348033556</v>
        <stp/>
        <stp>BDP|8351194187910262281</stp>
        <tr r="F18" s="16"/>
      </tp>
      <tp t="s">
        <v>#N/A Requesting Data...2943562706</v>
        <stp/>
        <stp>BDP|6597358426133866797</stp>
        <tr r="AR55" s="14"/>
      </tp>
      <tp t="s">
        <v>#N/A Requesting Data...2215382427</v>
        <stp/>
        <stp>BDP|8965307812499402085</stp>
        <tr r="AM40" s="14"/>
      </tp>
      <tp t="s">
        <v>#N/A N/A</v>
        <stp/>
        <stp>BDP|5897786167740785770</stp>
        <tr r="F24" s="7"/>
      </tp>
      <tp t="s">
        <v>#N/A Requesting Data...3437458066</v>
        <stp/>
        <stp>BDP|1729544043400618316</stp>
        <tr r="I55" s="14"/>
      </tp>
      <tp t="s">
        <v>#N/A Requesting Data...3432984839</v>
        <stp/>
        <stp>BDP|5223917993461376743</stp>
        <tr r="I23" s="14"/>
      </tp>
      <tp t="s">
        <v>#N/A Requesting Data...4103809052</v>
        <stp/>
        <stp>BDP|4567830725449544412</stp>
        <tr r="F99" s="16"/>
      </tp>
      <tp t="s">
        <v>#N/A Requesting Data...2237714184</v>
        <stp/>
        <stp>BDP|5652349589964442985</stp>
        <tr r="AN56" s="14"/>
      </tp>
      <tp t="s">
        <v>#N/A Requesting Data...2907274810</v>
        <stp/>
        <stp>BDP|7226950186561167448</stp>
        <tr r="AN15" s="14"/>
      </tp>
      <tp t="s">
        <v>#N/A Requesting Data...2980632301</v>
        <stp/>
        <stp>BDP|1595471166789876980</stp>
        <tr r="AB29" s="14"/>
        <tr r="AB29" s="14"/>
      </tp>
      <tp t="s">
        <v>#N/A Requesting Data...2907927755</v>
        <stp/>
        <stp>BDP|2622712873890309135</stp>
        <tr r="AT45" s="14"/>
      </tp>
      <tp t="s">
        <v>#N/A Requesting Data...4050126433</v>
        <stp/>
        <stp>BDP|4206291993555946953</stp>
        <tr r="AS20" s="14"/>
      </tp>
      <tp t="s">
        <v>#N/A N/A</v>
        <stp/>
        <stp>BDP|8817272990977207798</stp>
        <tr r="T87" s="14"/>
        <tr r="T87" s="14"/>
      </tp>
      <tp t="s">
        <v>#N/A Requesting Data...3753432240</v>
        <stp/>
        <stp>BDP|1404539764283653219</stp>
        <tr r="C98" s="14"/>
      </tp>
      <tp t="s">
        <v>#N/A Requesting Data...3505496770</v>
        <stp/>
        <stp>BDP|9576489588085283331</stp>
        <tr r="E26" s="14"/>
        <tr r="D24" s="16"/>
      </tp>
      <tp t="s">
        <v>#N/A N/A</v>
        <stp/>
        <stp>BDP|2363728634017925295</stp>
        <tr r="U12" s="6"/>
      </tp>
      <tp t="s">
        <v>#N/A Requesting Data...2141425305</v>
        <stp/>
        <stp>BDP|4579529141047117124</stp>
        <tr r="AF58" s="14"/>
      </tp>
      <tp t="s">
        <v>#N/A N/A</v>
        <stp/>
        <stp>BDP|9265130403973466833</stp>
        <tr r="P23" s="7"/>
      </tp>
      <tp t="s">
        <v>#N/A N/A</v>
        <stp/>
        <stp>BDP|2342566824230283664</stp>
        <tr r="F13" s="6"/>
      </tp>
      <tp t="s">
        <v>#N/A Requesting Data...2136941177</v>
        <stp/>
        <stp>BDP|2628345641991596734</stp>
        <tr r="AU32" s="14"/>
      </tp>
      <tp t="s">
        <v>#N/A Requesting Data...3220044088</v>
        <stp/>
        <stp>BDP|3993468815695821076</stp>
        <tr r="F97" s="16"/>
      </tp>
      <tp t="s">
        <v>#N/A Requesting Data...3284069745</v>
        <stp/>
        <stp>BDP|4715378119410899541</stp>
        <tr r="D77" s="14"/>
        <tr r="C75" s="16"/>
      </tp>
      <tp t="s">
        <v>#N/A Requesting Data...2574725644</v>
        <stp/>
        <stp>BDP|7660310864614265543</stp>
        <tr r="AT30" s="14"/>
      </tp>
      <tp t="s">
        <v>#N/A Requesting Data...3834139756</v>
        <stp/>
        <stp>BDP|3670501377432261060</stp>
        <tr r="AM23" s="14"/>
      </tp>
      <tp t="s">
        <v>#N/A Requesting Data...2090814712</v>
        <stp/>
        <stp>BDP|7372011238707604097</stp>
        <tr r="J15" s="1"/>
      </tp>
      <tp t="s">
        <v>#N/A N/A</v>
        <stp/>
        <stp>BDH|9176619714975942886</stp>
        <tr r="AE59" s="14"/>
      </tp>
    </main>
    <main first="bofaddin.rtdserver">
      <tp t="s">
        <v>#N/A N/A</v>
        <stp/>
        <stp>BADDPERIODS|5184868281226434063</stp>
        <tr r="AH27" s="14"/>
      </tp>
    </main>
    <main first="bofaddin.rtdserver">
      <tp t="s">
        <v>#N/A N/A</v>
        <stp/>
        <stp>BADDPERIODS|2192286648945219215</stp>
        <tr r="AH75" s="14"/>
      </tp>
      <tp t="s">
        <v>#N/A N/A</v>
        <stp/>
        <stp>BADDPERIODS|8283387182078113885</stp>
        <tr r="AH105" s="14"/>
      </tp>
      <tp t="s">
        <v>#N/A Requesting Data...3776881193</v>
        <stp/>
        <stp>BDP|61821737356167411</stp>
        <tr r="I11" s="1"/>
      </tp>
      <tp t="s">
        <v>#N/A Requesting Data...3936389158</v>
        <stp/>
        <stp>BDP|74429693111079530</stp>
        <tr r="AR106" s="14"/>
      </tp>
      <tp t="s">
        <v>#N/A N/A</v>
        <stp/>
        <stp>BDP|25401589096205393</stp>
        <tr r="T92" s="14"/>
        <tr r="T92" s="14"/>
      </tp>
    </main>
    <main first="bofaddin.rtdserver">
      <tp t="s">
        <v>#N/A N/A</v>
        <stp/>
        <stp>BADDPERIODS|2004019783310729893</stp>
        <tr r="AH21" s="1"/>
        <tr r="AH14" s="1"/>
        <tr r="AH22" s="1"/>
        <tr r="AH15" s="1"/>
        <tr r="AH23" s="1"/>
        <tr r="AH18" s="1"/>
        <tr r="AH19" s="1"/>
        <tr r="AH27" s="1"/>
        <tr r="AH16" s="1"/>
        <tr r="AH17" s="1"/>
        <tr r="AH25" s="1"/>
        <tr r="AH26" s="1"/>
        <tr r="AH11" s="1"/>
        <tr r="AH12" s="1"/>
        <tr r="AH20" s="1"/>
        <tr r="AH28" s="1"/>
        <tr r="AH24" s="1"/>
        <tr r="AH13" s="1"/>
      </tp>
    </main>
    <main first="bofaddin.rtdserver">
      <tp t="s">
        <v>#N/A N/A</v>
        <stp/>
        <stp>BADDPERIODS|4405424536332486305</stp>
        <tr r="AH98" s="14"/>
      </tp>
      <tp t="s">
        <v>#N/A N/A</v>
        <stp/>
        <stp>BADDPERIODS|8612738290825097147</stp>
        <tr r="AH47" s="14"/>
      </tp>
    </main>
    <main first="bofaddin.rtdserver">
      <tp t="s">
        <v>#N/A N/A</v>
        <stp/>
        <stp>BADDPERIODS|4161662890268873262</stp>
        <tr r="AH16" s="14"/>
      </tp>
    </main>
    <main first="bofaddin.rtdserver">
      <tp t="s">
        <v>#N/A N/A</v>
        <stp/>
        <stp>BADDPERIODS|6362213131805022376</stp>
        <tr r="AH25" s="14"/>
      </tp>
      <tp t="s">
        <v>#N/A Requesting Data...2382482037</v>
        <stp/>
        <stp>BDP|45288284506659798</stp>
        <tr r="AE75" s="14"/>
      </tp>
      <tp t="s">
        <v>#N/A N/A</v>
        <stp/>
        <stp>BDP|14509897443164458</stp>
        <tr r="J106" s="16"/>
      </tp>
    </main>
    <main first="bofaddin.rtdserver">
      <tp t="s">
        <v>#N/A N/A</v>
        <stp/>
        <stp>BADDPERIODS|4152559755094470091</stp>
        <tr r="AH103" s="14"/>
      </tp>
    </main>
    <main first="bofaddin.rtdserver">
      <tp t="s">
        <v>#N/A N/A</v>
        <stp/>
        <stp>BADDPERIODS|3436153833939995897</stp>
        <tr r="AH15" s="14"/>
      </tp>
    </main>
    <main first="bofaddin.rtdserver">
      <tp t="s">
        <v>#N/A N/A</v>
        <stp/>
        <stp>BADDPERIODS|1735538655293338568</stp>
        <tr r="AH100" s="14"/>
      </tp>
    </main>
    <main first="bofaddin.rtdserver">
      <tp t="s">
        <v>#N/A N/A</v>
        <stp/>
        <stp>BDP|12330483176766020</stp>
        <tr r="P11" s="7"/>
      </tp>
    </main>
    <main first="bofaddin.rtdserver">
      <tp t="s">
        <v>#N/A N/A</v>
        <stp/>
        <stp>BADDPERIODS|8826490462914608893</stp>
        <tr r="AH20" s="14"/>
      </tp>
    </main>
    <main first="bofaddin.rtdserver">
      <tp t="s">
        <v>#N/A N/A</v>
        <stp/>
        <stp>BADDPERIODS|1705796862454236279</stp>
        <tr r="AH71" s="14"/>
      </tp>
      <tp t="s">
        <v>#N/A N/A</v>
        <stp/>
        <stp>BADDPERIODS|8922329535486910812</stp>
        <tr r="AH69" s="14"/>
      </tp>
      <tp t="s">
        <v>#N/A N/A</v>
        <stp/>
        <stp>BADDPERIODS|6978192823946172541</stp>
        <tr r="AH58" s="14"/>
      </tp>
      <tp t="s">
        <v>#N/A N/A</v>
        <stp/>
        <stp>BADDPERIODS|3254379404270104675</stp>
        <tr r="AH39" s="14"/>
        <tr r="AH45" s="14"/>
      </tp>
      <tp t="s">
        <v>#N/A N/A</v>
        <stp/>
        <stp>BADDPERIODS|1345651261843729423</stp>
        <tr r="AH42" s="14"/>
      </tp>
      <tp t="s">
        <v>#N/A N/A</v>
        <stp/>
        <stp>BADDPERIODS|5790262961271444662</stp>
        <tr r="AH89" s="14"/>
      </tp>
    </main>
    <main first="bofaddin.rtdserver">
      <tp t="s">
        <v>#N/A Requesting Data...2722973057</v>
        <stp/>
        <stp>BDP|48959262262731184</stp>
        <tr r="I60" s="14"/>
      </tp>
      <tp t="s">
        <v>#N/A N/A</v>
        <stp/>
        <stp>BADDPERIODS|7046460300873849506</stp>
        <tr r="AH46" s="14"/>
      </tp>
    </main>
    <main first="bofaddin.rtdserver">
      <tp t="s">
        <v>#N/A N/A</v>
        <stp/>
        <stp>BADDPERIODS|3899615532247438480</stp>
        <tr r="AH56" s="14"/>
      </tp>
      <tp t="s">
        <v>#N/A N/A</v>
        <stp/>
        <stp>BADDPERIODS|7130049303386595441</stp>
        <tr r="AH83" s="14"/>
      </tp>
    </main>
    <main first="bofaddin.rtdserver">
      <tp t="s">
        <v>#N/A N/A</v>
        <stp/>
        <stp>BADDPERIODS|3026935642948310297</stp>
        <tr r="AH102" s="14"/>
      </tp>
      <tp t="s">
        <v>#N/A N/A</v>
        <stp/>
        <stp>BADDPERIODS|9068254119336287896</stp>
        <tr r="AH77" s="14"/>
      </tp>
      <tp t="s">
        <v>#N/A N/A</v>
        <stp/>
        <stp>BADDPERIODS|6292158125955382417</stp>
        <tr r="AH43" s="14"/>
      </tp>
      <tp t="s">
        <v>#N/A N/A</v>
        <stp/>
        <stp>BADDPERIODS|6871422192437243720</stp>
        <tr r="AH70" s="14"/>
      </tp>
      <tp t="s">
        <v>#N/A N/A</v>
        <stp/>
        <stp>BADDPERIODS|7324543675569072746</stp>
        <tr r="AH49" s="14"/>
      </tp>
    </main>
    <main first="bofaddin.rtdserver">
      <tp t="s">
        <v>#N/A Requesting Data...3070340210</v>
        <stp/>
        <stp>BDP|36644011666861076</stp>
        <tr r="G61" s="14"/>
      </tp>
      <tp t="s">
        <v>#N/A N/A</v>
        <stp/>
        <stp>BADDPERIODS|1950234942665699891</stp>
        <tr r="AH26" s="14"/>
      </tp>
    </main>
    <main first="bofaddin.rtdserver">
      <tp t="s">
        <v>#N/A N/A</v>
        <stp/>
        <stp>BADDPERIODS|6441814344681867267</stp>
        <tr r="AH57" s="14"/>
      </tp>
      <tp t="s">
        <v>#N/A N/A</v>
        <stp/>
        <stp>BADDPERIODS|9712923194918497805</stp>
        <tr r="AH14" s="14"/>
      </tp>
      <tp t="s">
        <v>#N/A N/A</v>
        <stp/>
        <stp>BADDPERIODS|7855338998803385711</stp>
        <tr r="AH44" s="14"/>
      </tp>
      <tp t="s">
        <v>#N/A Requesting Data...3058104792</v>
        <stp/>
        <stp>BDP|42524174718351971</stp>
        <tr r="AR57" s="14"/>
      </tp>
      <tp t="s">
        <v>#N/A Requesting Data...3430958905</v>
        <stp/>
        <stp>BDP|78210627380042359</stp>
        <tr r="H69" s="16"/>
        <tr r="H69" s="16"/>
        <tr r="F71" s="14"/>
        <tr r="F71" s="14"/>
      </tp>
      <tp t="s">
        <v>#N/A N/A</v>
        <stp/>
        <stp>BADDPERIODS|2633956540076793197</stp>
        <tr r="AH41" s="14"/>
      </tp>
      <tp t="s">
        <v>#N/A N/A</v>
        <stp/>
        <stp>BADDPERIODS|3380953633586322756</stp>
        <tr r="AH85" s="14"/>
      </tp>
    </main>
    <main first="bofaddin.rtdserver">
      <tp t="s">
        <v>#N/A Requesting Data...2668074578</v>
        <stp/>
        <stp>BDP|99264249550474488</stp>
        <tr r="AL85" s="14"/>
      </tp>
      <tp t="s">
        <v>#N/A Requesting Data...3490796067</v>
        <stp/>
        <stp>BDP|46626724945216356</stp>
        <tr r="AP96" s="14"/>
      </tp>
      <tp t="s">
        <v>#N/A N/A</v>
        <stp/>
        <stp>BDP|65000528346161688</stp>
        <tr r="AH64" s="14"/>
        <tr r="AH64" s="14"/>
      </tp>
      <tp t="s">
        <v>#N/A N/A</v>
        <stp/>
        <stp>BADDPERIODS|9637461478211628465</stp>
        <tr r="AH21" s="14"/>
      </tp>
    </main>
    <main first="bofaddin.rtdserver">
      <tp t="s">
        <v>#N/A Requesting Data...3914453018</v>
        <stp/>
        <stp>BDP|71562764611441795</stp>
        <tr r="C42" s="14"/>
      </tp>
      <tp t="s">
        <v>#N/A Requesting Data...3173535509</v>
        <stp/>
        <stp>BDP|95798450734697329</stp>
        <tr r="I16" s="12"/>
      </tp>
    </main>
    <main first="bofaddin.rtdserver">
      <tp t="s">
        <v>#N/A N/A</v>
        <stp/>
        <stp>BADDPERIODS|5907687997395590175</stp>
        <tr r="AH86" s="14"/>
      </tp>
      <tp t="s">
        <v>#N/A N/A</v>
        <stp/>
        <stp>BADDPERIODS|3632987735690985775</stp>
        <tr r="AH109" s="14"/>
      </tp>
      <tp t="s">
        <v>#N/A N/A</v>
        <stp/>
        <stp>BADDPERIODS|6739227096693368031</stp>
        <tr r="AH68" s="14"/>
      </tp>
      <tp t="s">
        <v>#N/A Requesting Data...2717172790</v>
        <stp/>
        <stp>BDP|67624531851105044</stp>
        <tr r="AL76" s="14"/>
      </tp>
      <tp t="s">
        <v>#N/A N/A</v>
        <stp/>
        <stp>BADDPERIODS|7975440735935065886</stp>
        <tr r="AH22" s="14"/>
      </tp>
      <tp t="s">
        <v>#N/A N/A</v>
        <stp/>
        <stp>BADDPERIODS|4605124360296268867</stp>
        <tr r="AH24" s="14"/>
        <tr r="AH32" s="14"/>
      </tp>
      <tp t="s">
        <v>#N/A N/A</v>
        <stp/>
        <stp>BADDPERIODS|1010952710852834737</stp>
        <tr r="AH87" s="14"/>
      </tp>
    </main>
    <main first="bofaddin.rtdserver">
      <tp t="s">
        <v>#N/A N/A</v>
        <stp/>
        <stp>BADDPERIODS|1787878920760879723</stp>
        <tr r="AH95" s="14"/>
      </tp>
      <tp t="s">
        <v>#N/A N/A</v>
        <stp/>
        <stp>BADDPERIODS|6306942104944938732</stp>
        <tr r="AH54" s="14"/>
        <tr r="AH55" s="14"/>
      </tp>
      <tp t="s">
        <v>#N/A N/A</v>
        <stp/>
        <stp>BADDPERIODS|8718017803103111737</stp>
        <tr r="AH11" s="5"/>
        <tr r="AH12" s="5"/>
        <tr r="AH13" s="5"/>
      </tp>
      <tp t="s">
        <v>#N/A N/A</v>
        <stp/>
        <stp>BADDPERIODS|8267995914575705996</stp>
        <tr r="AH50" s="14"/>
      </tp>
      <tp t="s">
        <v>#N/A Requesting Data...3142252628</v>
        <stp/>
        <stp>BDP|21101328260991575</stp>
        <tr r="I65" s="14"/>
      </tp>
    </main>
    <main first="bofaddin.rtdserver">
      <tp t="s">
        <v>#N/A Requesting Data...2457027308</v>
        <stp/>
        <stp>BDP|330212796939979719</stp>
        <tr r="E59" s="16"/>
      </tp>
      <tp t="s">
        <v>#N/A Requesting Data...3140417997</v>
        <stp/>
        <stp>BDP|232044513290896403</stp>
        <tr r="AM47" s="14"/>
      </tp>
      <tp t="s">
        <v>#N/A N/A</v>
        <stp/>
        <stp>BDP|257719559857603019</stp>
        <tr r="J13" s="4"/>
      </tp>
      <tp t="s">
        <v>#N/A Requesting Data...2807239265</v>
        <stp/>
        <stp>BDP|722051430227339194</stp>
        <tr r="AO35" s="14"/>
        <tr r="AO35" s="14"/>
      </tp>
      <tp t="s">
        <v>#N/A Requesting Data...3534107192</v>
        <stp/>
        <stp>BDP|546769449462756444</stp>
        <tr r="AR13" s="14"/>
      </tp>
      <tp t="s">
        <v>#N/A N/A</v>
        <stp/>
        <stp>BDP|679806885264145188</stp>
        <tr r="N26" s="6"/>
      </tp>
      <tp t="s">
        <v>#N/A Requesting Data...2648225851</v>
        <stp/>
        <stp>BDP|936214597106313867</stp>
        <tr r="G42" s="14"/>
      </tp>
      <tp t="s">
        <v>#N/A Requesting Data...4233103744</v>
        <stp/>
        <stp>BDP|197786249166499001</stp>
        <tr r="C57" s="12"/>
      </tp>
      <tp t="s">
        <v>#N/A Requesting Data...3212663231</v>
        <stp/>
        <stp>BDP|429408003353777249</stp>
        <tr r="AM48" s="14"/>
      </tp>
      <tp t="s">
        <v>#N/A Requesting Data...2900247759</v>
        <stp/>
        <stp>BDP|939104935582829507</stp>
        <tr r="AF102" s="14"/>
      </tp>
      <tp t="s">
        <v>#N/A Requesting Data...2125833624</v>
        <stp/>
        <stp>BDP|381527353906503325</stp>
        <tr r="AK22" s="1"/>
      </tp>
      <tp t="s">
        <v>#N/A Requesting Data...2329714843</v>
        <stp/>
        <stp>BDP|946923904395891913</stp>
        <tr r="AK82" s="14"/>
      </tp>
      <tp t="s">
        <v>#N/A N/A</v>
        <stp/>
        <stp>BDP|441244078087872763</stp>
        <tr r="AA18" s="1"/>
      </tp>
      <tp t="s">
        <v>#N/A Requesting Data...2589424556</v>
        <stp/>
        <stp>BDP|509259240842615116</stp>
        <tr r="E13" s="14"/>
        <tr r="D11" s="16"/>
      </tp>
      <tp t="s">
        <v>#N/A N/A</v>
        <stp/>
        <stp>BDP|643516874996648174</stp>
        <tr r="J52" s="16"/>
        <tr r="J53" s="16"/>
        <tr r="J31" s="16"/>
        <tr r="J90" s="16"/>
      </tp>
      <tp t="s">
        <v>#N/A Requesting Data...3620430811</v>
        <stp/>
        <stp>BDP|316882758000999890</stp>
        <tr r="I94" s="14"/>
        <tr r="I94" s="14"/>
      </tp>
    </main>
    <main first="bofaddin.rtdserver">
      <tp t="s">
        <v>#N/A Requesting Data...2993400914</v>
        <stp/>
        <stp>BDP|225700815807348585</stp>
        <tr r="AM20" s="14"/>
      </tp>
      <tp t="s">
        <v>#N/A Requesting Data...3865999935</v>
        <stp/>
        <stp>BDP|854695657541959619</stp>
        <tr r="AP79" s="14"/>
      </tp>
      <tp t="s">
        <v>#N/A Requesting Data...2156595130</v>
        <stp/>
        <stp>BDP|998460510211461050</stp>
        <tr r="AD18" s="14"/>
      </tp>
      <tp t="s">
        <v>#N/A Requesting Data...2607400791</v>
        <stp/>
        <stp>BDP|179762756212084496</stp>
        <tr r="F107" s="14"/>
        <tr r="F107" s="14"/>
        <tr r="H105" s="16"/>
        <tr r="H105" s="16"/>
      </tp>
      <tp t="s">
        <v>#N/A Requesting Data...2393970392</v>
        <stp/>
        <stp>BDP|213773235849916917</stp>
        <tr r="AL42" s="14"/>
      </tp>
      <tp t="s">
        <v>#N/A Requesting Data...3931465462</v>
        <stp/>
        <stp>BDP|866236905553094570</stp>
        <tr r="F13" s="5"/>
        <tr r="F25" s="1"/>
        <tr r="F24" s="1"/>
        <tr r="F16" s="4"/>
        <tr r="F12" s="5"/>
        <tr r="F19" s="4"/>
        <tr r="F26" s="1"/>
        <tr r="F21" s="4"/>
        <tr r="F20" s="4"/>
        <tr r="F18" s="4"/>
        <tr r="F28" s="1"/>
        <tr r="F17" s="4"/>
        <tr r="F27" s="1"/>
      </tp>
      <tp t="s">
        <v>#N/A Requesting Data...3679556445</v>
        <stp/>
        <stp>BDP|913749721982701317</stp>
        <tr r="AT71" s="14"/>
      </tp>
      <tp t="s">
        <v>#N/A Requesting Data...4218932221</v>
        <stp/>
        <stp>BDP|944749764811793451</stp>
        <tr r="G49" s="14"/>
      </tp>
      <tp t="s">
        <v>#N/A N/A</v>
        <stp/>
        <stp>BCOUNTPERIODS|1898687436935383979</stp>
        <tr r="AF11" s="5"/>
      </tp>
      <tp t="s">
        <v>#N/A Requesting Data...4277000235</v>
        <stp/>
        <stp>BDP|828422705816295699</stp>
        <tr r="I78" s="14"/>
      </tp>
      <tp t="s">
        <v>#N/A N/A</v>
        <stp/>
        <stp>BDP|803660645940920666</stp>
        <tr r="AH26" s="14"/>
        <tr r="AH26" s="14"/>
      </tp>
      <tp t="s">
        <v>#N/A Requesting Data...4079478726</v>
        <stp/>
        <stp>BDP|559591348252372734</stp>
        <tr r="AR29" s="14"/>
      </tp>
      <tp t="s">
        <v>#N/A Requesting Data...2498649048</v>
        <stp/>
        <stp>BDP|951265822665915118</stp>
        <tr r="K47" s="14"/>
      </tp>
      <tp t="s">
        <v>#N/A N/A</v>
        <stp/>
        <stp>BDP|455146189689934453</stp>
        <tr r="Z11" s="1"/>
      </tp>
      <tp t="s">
        <v>#N/A Requesting Data...3042299011</v>
        <stp/>
        <stp>BDP|191264669214154498</stp>
        <tr r="G77" s="14"/>
      </tp>
      <tp t="s">
        <v>#N/A Requesting Data...2921098742</v>
        <stp/>
        <stp>BDP|697769801876009568</stp>
        <tr r="G51" s="16"/>
      </tp>
      <tp t="s">
        <v>#N/A Requesting Data...4230318462</v>
        <stp/>
        <stp>BDP|289345686888711705</stp>
        <tr r="AN47" s="14"/>
      </tp>
      <tp t="s">
        <v>#N/A Requesting Data...3373899150</v>
        <stp/>
        <stp>BDP|768457647262016652</stp>
        <tr r="I24" s="14"/>
      </tp>
      <tp t="s">
        <v>#N/A N/A</v>
        <stp/>
        <stp>BDP|195226739514902110</stp>
        <tr r="I42" s="16"/>
      </tp>
      <tp t="s">
        <v>#N/A Requesting Data...4187946844</v>
        <stp/>
        <stp>BDP|229622524537599738</stp>
        <tr r="AU52" s="14"/>
      </tp>
      <tp t="s">
        <v>#N/A N/A</v>
        <stp/>
        <stp>BADDPERIODS|752209252824777234</stp>
        <tr r="M12" s="6"/>
        <tr r="M12" s="6"/>
        <tr r="M12" s="6"/>
        <tr r="M16" s="6"/>
        <tr r="M16" s="6"/>
        <tr r="M16" s="6"/>
        <tr r="M18" s="6"/>
        <tr r="M18" s="6"/>
        <tr r="M18" s="6"/>
        <tr r="M23" s="6"/>
        <tr r="M23" s="6"/>
        <tr r="M23" s="6"/>
        <tr r="Q12" s="1"/>
        <tr r="Q12" s="1"/>
        <tr r="Q12" s="1"/>
        <tr r="Q13" s="1"/>
        <tr r="Q13" s="1"/>
        <tr r="Q13" s="1"/>
        <tr r="Q14" s="1"/>
        <tr r="Q14" s="1"/>
        <tr r="Q14" s="1"/>
        <tr r="Q16" s="1"/>
        <tr r="Q16" s="1"/>
        <tr r="Q16" s="1"/>
        <tr r="Q17" s="1"/>
        <tr r="Q17" s="1"/>
        <tr r="Q17" s="1"/>
        <tr r="Q23" s="1"/>
        <tr r="Q23" s="1"/>
        <tr r="Q23" s="1"/>
        <tr r="M13" s="6"/>
        <tr r="M13" s="6"/>
        <tr r="M13" s="6"/>
        <tr r="M14" s="6"/>
        <tr r="M14" s="6"/>
        <tr r="M14" s="6"/>
        <tr r="M15" s="6"/>
        <tr r="M15" s="6"/>
        <tr r="M15" s="6"/>
        <tr r="M17" s="6"/>
        <tr r="M17" s="6"/>
        <tr r="M17" s="6"/>
        <tr r="M19" s="6"/>
        <tr r="M19" s="6"/>
        <tr r="M19" s="6"/>
        <tr r="M20" s="6"/>
        <tr r="M20" s="6"/>
        <tr r="M20" s="6"/>
        <tr r="M21" s="6"/>
        <tr r="M21" s="6"/>
        <tr r="M21" s="6"/>
        <tr r="M22" s="6"/>
        <tr r="M22" s="6"/>
        <tr r="M22" s="6"/>
        <tr r="M24" s="6"/>
        <tr r="M24" s="6"/>
        <tr r="M24" s="6"/>
        <tr r="M25" s="6"/>
        <tr r="M25" s="6"/>
        <tr r="M25" s="6"/>
        <tr r="M13" s="7"/>
        <tr r="M13" s="7"/>
        <tr r="M13" s="7"/>
        <tr r="M14" s="7"/>
        <tr r="M14" s="7"/>
        <tr r="M14" s="7"/>
        <tr r="M15" s="7"/>
        <tr r="M15" s="7"/>
        <tr r="M15" s="7"/>
        <tr r="M16" s="7"/>
        <tr r="M16" s="7"/>
        <tr r="M16" s="7"/>
        <tr r="M17" s="7"/>
        <tr r="M17" s="7"/>
        <tr r="M17" s="7"/>
        <tr r="M21" s="7"/>
        <tr r="M21" s="7"/>
        <tr r="M21" s="7"/>
        <tr r="M22" s="7"/>
        <tr r="M22" s="7"/>
        <tr r="M22" s="7"/>
        <tr r="M24" s="7"/>
        <tr r="M24" s="7"/>
        <tr r="M24" s="7"/>
        <tr r="Q11" s="1"/>
        <tr r="Q11" s="1"/>
        <tr r="Q11" s="1"/>
        <tr r="Q19" s="1"/>
        <tr r="Q19" s="1"/>
        <tr r="Q19" s="1"/>
        <tr r="Q22" s="1"/>
        <tr r="Q22" s="1"/>
        <tr r="Q22" s="1"/>
        <tr r="Q11" s="5"/>
        <tr r="Q11" s="5"/>
        <tr r="Q11" s="5"/>
        <tr r="M11" s="6"/>
        <tr r="M11" s="6"/>
        <tr r="M11" s="6"/>
        <tr r="M18" s="7"/>
        <tr r="M18" s="7"/>
        <tr r="M18" s="7"/>
        <tr r="Q12" s="4"/>
        <tr r="Q12" s="4"/>
        <tr r="Q12" s="4"/>
        <tr r="Q13" s="4"/>
        <tr r="Q13" s="4"/>
        <tr r="Q13" s="4"/>
        <tr r="Q14" s="4"/>
        <tr r="Q14" s="4"/>
        <tr r="Q14" s="4"/>
        <tr r="Q15" s="4"/>
        <tr r="Q15" s="4"/>
        <tr r="Q15" s="4"/>
        <tr r="M12" s="7"/>
        <tr r="M12" s="7"/>
        <tr r="M12" s="7"/>
        <tr r="M20" s="7"/>
        <tr r="M20" s="7"/>
        <tr r="M20" s="7"/>
        <tr r="M25" s="7"/>
        <tr r="M25" s="7"/>
        <tr r="M25" s="7"/>
        <tr r="M11" s="7"/>
        <tr r="M11" s="7"/>
        <tr r="M11" s="7"/>
        <tr r="Q15" s="1"/>
        <tr r="Q15" s="1"/>
        <tr r="Q15" s="1"/>
        <tr r="Q18" s="1"/>
        <tr r="Q18" s="1"/>
        <tr r="Q18" s="1"/>
        <tr r="Q20" s="1"/>
        <tr r="Q20" s="1"/>
        <tr r="Q20" s="1"/>
        <tr r="Q21" s="1"/>
        <tr r="Q21" s="1"/>
        <tr r="Q21" s="1"/>
        <tr r="Q11" s="4"/>
        <tr r="Q11" s="4"/>
        <tr r="Q11" s="4"/>
      </tp>
    </main>
    <main first="bofaddin.rtdserver">
      <tp t="s">
        <v>#N/A Requesting Data...2326499204</v>
        <stp/>
        <stp>BDP|275309569634383647</stp>
        <tr r="AT38" s="14"/>
      </tp>
      <tp t="s">
        <v>#N/A Requesting Data...3981836156</v>
        <stp/>
        <stp>BDP|341644136242898041</stp>
        <tr r="F74" s="16"/>
      </tp>
      <tp t="s">
        <v>#N/A N/A</v>
        <stp/>
        <stp>BDH|921521966255543158</stp>
        <tr r="AE48" s="14"/>
      </tp>
      <tp t="s">
        <v>#N/A Requesting Data...3484237992</v>
        <stp/>
        <stp>BDP|539583001324385610</stp>
        <tr r="AS77" s="14"/>
      </tp>
      <tp t="s">
        <v>#N/A Requesting Data...3614155156</v>
        <stp/>
        <stp>BDP|557298277672024044</stp>
        <tr r="H11" s="16"/>
        <tr r="H11" s="16"/>
        <tr r="F13" s="14"/>
        <tr r="F13" s="14"/>
      </tp>
      <tp t="s">
        <v>#N/A Requesting Data...3464080681</v>
        <stp/>
        <stp>BDP|914478839192038289</stp>
        <tr r="C64" s="16"/>
        <tr r="D66" s="14"/>
      </tp>
      <tp t="s">
        <v>#N/A Requesting Data...3514238150</v>
        <stp/>
        <stp>BDP|662040349783446004</stp>
        <tr r="K20" s="14"/>
      </tp>
      <tp t="s">
        <v>#N/A N/A</v>
        <stp/>
        <stp>BDP|935459500431407202</stp>
        <tr r="J55" s="14"/>
      </tp>
      <tp t="s">
        <v>#N/A N/A</v>
        <stp/>
        <stp>BDP|218166200716741093</stp>
        <tr r="T39" s="14"/>
        <tr r="T39" s="14"/>
      </tp>
      <tp t="s">
        <v>#N/A Requesting Data...2621449844</v>
        <stp/>
        <stp>BDP|201071983049430691</stp>
        <tr r="E90" s="14"/>
        <tr r="D89" s="16"/>
        <tr r="E91" s="14"/>
        <tr r="D88" s="16"/>
      </tp>
      <tp t="s">
        <v>#N/A N/A</v>
        <stp/>
        <stp>BDP|666348465330748243</stp>
        <tr r="G16" s="7"/>
      </tp>
      <tp t="s">
        <v>#N/A Requesting Data...2804086865</v>
        <stp/>
        <stp>BDP|541030003355163202</stp>
        <tr r="I18" s="14"/>
      </tp>
      <tp t="s">
        <v>#N/A Requesting Data...3733464486</v>
        <stp/>
        <stp>BDP|724621424931021247</stp>
        <tr r="AB59" s="14"/>
        <tr r="AB59" s="14"/>
      </tp>
      <tp t="s">
        <v>#N/A Requesting Data...2492755189</v>
        <stp/>
        <stp>BDP|369009743733238040</stp>
        <tr r="G85" s="16"/>
      </tp>
      <tp t="s">
        <v>#N/A N/A</v>
        <stp/>
        <stp>BDP|578532257172471541</stp>
        <tr r="AH44" s="14"/>
        <tr r="AH44" s="14"/>
      </tp>
      <tp t="s">
        <v>#N/A N/A</v>
        <stp/>
        <stp>BDP|901629638185494758</stp>
        <tr r="V25" s="7"/>
      </tp>
      <tp t="s">
        <v>#N/A N/A</v>
        <stp/>
        <stp>BDP|690037717562129404</stp>
        <tr r="T73" s="14"/>
        <tr r="T73" s="14"/>
      </tp>
    </main>
    <main first="bofaddin.rtdserver">
      <tp t="s">
        <v>#N/A Requesting Data...3978283620</v>
        <stp/>
        <stp>BDP|361411338032447331</stp>
        <tr r="AU78" s="14"/>
      </tp>
      <tp t="s">
        <v>#N/A N/A</v>
        <stp/>
        <stp>BDS|688743810664413488</stp>
        <tr r="AI60" s="14"/>
        <tr r="AI60" s="14"/>
        <tr r="AI63" s="14"/>
        <tr r="AI63" s="14"/>
      </tp>
    </main>
    <main first="bofaddin.rtdserver">
      <tp t="s">
        <v>#N/A Requesting Data...3960901141</v>
        <stp/>
        <stp>BDP|952602294698406163</stp>
        <tr r="E80" s="16"/>
      </tp>
      <tp t="s">
        <v>#N/A N/A</v>
        <stp/>
        <stp>BDH|694726216936885627</stp>
        <tr r="AE33" s="14"/>
      </tp>
      <tp t="s">
        <v>#N/A N/A</v>
        <stp/>
        <stp>BDP|635085133502410710</stp>
        <tr r="AH108" s="14"/>
        <tr r="AH108" s="14"/>
      </tp>
      <tp t="s">
        <v>#N/A Requesting Data...3101011298</v>
        <stp/>
        <stp>BDP|731114240550624392</stp>
        <tr r="I61" s="14"/>
        <tr r="I61" s="14"/>
      </tp>
      <tp t="s">
        <v>#N/A Requesting Data...4120242672</v>
        <stp/>
        <stp>BDP|257655539357385474</stp>
        <tr r="I68" s="14"/>
        <tr r="I68" s="14"/>
      </tp>
      <tp t="s">
        <v>#N/A Requesting Data...4117925534</v>
        <stp/>
        <stp>BDP|877307091259309519</stp>
        <tr r="V63" s="14"/>
      </tp>
      <tp t="s">
        <v>#N/A Requesting Data...3730767127</v>
        <stp/>
        <stp>BDP|817708563983528452</stp>
        <tr r="AL13" s="14"/>
      </tp>
      <tp t="s">
        <v>#N/A Requesting Data...2356028727</v>
        <stp/>
        <stp>BDP|514416741364535257</stp>
        <tr r="AE74" s="14"/>
      </tp>
      <tp t="s">
        <v>#N/A N/A</v>
        <stp/>
        <stp>BDS|845066507101664785</stp>
        <tr r="AI14" s="14"/>
        <tr r="AI14" s="14"/>
        <tr r="AI15" s="14"/>
        <tr r="AI15" s="14"/>
      </tp>
      <tp t="s">
        <v>#N/A Requesting Data...4205615052</v>
        <stp/>
        <stp>BDP|243119606176380166</stp>
        <tr r="AH60" s="14"/>
      </tp>
      <tp t="s">
        <v>#N/A Requesting Data...2424444828</v>
        <stp/>
        <stp>BDP|996257278491727221</stp>
        <tr r="C36" s="16"/>
        <tr r="D38" s="14"/>
      </tp>
      <tp t="s">
        <v>#N/A Requesting Data...3919640095</v>
        <stp/>
        <stp>BDP|557959493633114501</stp>
        <tr r="E41" s="16"/>
      </tp>
      <tp t="s">
        <v>#N/A Requesting Data...2645091534</v>
        <stp/>
        <stp>BDP|489129919884887247</stp>
        <tr r="AN84" s="14"/>
      </tp>
      <tp t="s">
        <v>#N/A N/A</v>
        <stp/>
        <stp>BCHAIN|7454860742162345975</stp>
        <tr r="B11" s="6"/>
      </tp>
    </main>
    <main first="bofaddin.rtdserver">
      <tp t="s">
        <v>#N/A Requesting Data...2319359695</v>
        <stp/>
        <stp>BDP|781539115785026089</stp>
        <tr r="D12" s="16"/>
        <tr r="E14" s="14"/>
      </tp>
      <tp t="s">
        <v>#N/A Requesting Data...2237318483</v>
        <stp/>
        <stp>BDP|280095865721716624</stp>
        <tr r="AM92" s="14"/>
      </tp>
      <tp t="s">
        <v>#N/A Requesting Data...2889040385</v>
        <stp/>
        <stp>BDP|836944786220913067</stp>
        <tr r="AS73" s="14"/>
      </tp>
      <tp t="s">
        <v>#N/A N/A</v>
        <stp/>
        <stp>BDP|581354734549242804</stp>
        <tr r="V11" s="6"/>
      </tp>
      <tp t="s">
        <v>#N/A Requesting Data...3902284421</v>
        <stp/>
        <stp>BDP|411992381745416580</stp>
        <tr r="AL41" s="14"/>
      </tp>
      <tp t="s">
        <v>#N/A N/A</v>
        <stp/>
        <stp>BDS|290704636605693030</stp>
        <tr r="AI74" s="14"/>
        <tr r="AI74" s="14"/>
        <tr r="AI72" s="14"/>
        <tr r="AI72" s="14"/>
      </tp>
      <tp t="s">
        <v>#N/A Requesting Data...2364575849</v>
        <stp/>
        <stp>BDP|967504144964860464</stp>
        <tr r="AE19" s="14"/>
      </tp>
      <tp t="s">
        <v>#N/A N/A</v>
        <stp/>
        <stp>BTODAY|2371188678518069832</stp>
        <tr r="W18" s="7"/>
        <tr r="W18" s="7"/>
        <tr r="W25" s="7"/>
        <tr r="W25" s="7"/>
        <tr r="X12" s="7"/>
        <tr r="X12" s="7"/>
        <tr r="X25" s="7"/>
        <tr r="X25" s="7"/>
        <tr r="X18" s="7"/>
        <tr r="X18" s="7"/>
        <tr r="AO16" s="1"/>
        <tr r="AO16" s="1"/>
        <tr r="AE14" s="4"/>
        <tr r="AE14" s="4"/>
        <tr r="W22" s="7"/>
        <tr r="W22" s="7"/>
        <tr r="AD14" s="4"/>
        <tr r="AD14" s="4"/>
        <tr r="AD13" s="4"/>
        <tr r="AD13" s="4"/>
        <tr r="W12" s="7"/>
        <tr r="W12" s="7"/>
        <tr r="AN16" s="1"/>
        <tr r="AN16" s="1"/>
        <tr r="AE13" s="4"/>
        <tr r="AE13" s="4"/>
        <tr r="W19" s="7"/>
        <tr r="W19" s="7"/>
        <tr r="X22" s="7"/>
        <tr r="X22" s="7"/>
        <tr r="X19" s="7"/>
        <tr r="X19" s="7"/>
        <tr r="AO11" s="1"/>
        <tr r="AO11" s="1"/>
        <tr r="AO19" s="1"/>
        <tr r="AO19" s="1"/>
        <tr r="AN11" s="1"/>
        <tr r="AN11" s="1"/>
        <tr r="AN19" s="1"/>
        <tr r="AN19" s="1"/>
        <tr r="AO11" s="5"/>
        <tr r="AO11" s="5"/>
        <tr r="AN11" s="5"/>
        <tr r="AN11" s="5"/>
        <tr r="AO20" s="1"/>
        <tr r="AO20" s="1"/>
        <tr r="AN20" s="1"/>
        <tr r="AN20" s="1"/>
        <tr r="AO23" s="1"/>
        <tr r="AO23" s="1"/>
        <tr r="AN23" s="1"/>
        <tr r="AN23" s="1"/>
        <tr r="X19" s="6"/>
        <tr r="X19" s="6"/>
        <tr r="X20" s="6"/>
        <tr r="X20" s="6"/>
        <tr r="X22" s="6"/>
        <tr r="X22" s="6"/>
        <tr r="Y14" s="6"/>
        <tr r="Y14" s="6"/>
        <tr r="X16" s="6"/>
        <tr r="X16" s="6"/>
        <tr r="X15" s="6"/>
        <tr r="X15" s="6"/>
        <tr r="Y21" s="6"/>
        <tr r="Y21" s="6"/>
        <tr r="Y20" s="6"/>
        <tr r="Y20" s="6"/>
        <tr r="Y19" s="6"/>
        <tr r="Y19" s="6"/>
        <tr r="Y15" s="6"/>
        <tr r="Y15" s="6"/>
        <tr r="Y22" s="6"/>
        <tr r="Y22" s="6"/>
        <tr r="Y23" s="6"/>
        <tr r="Y23" s="6"/>
        <tr r="X21" s="6"/>
        <tr r="X21" s="6"/>
        <tr r="X14" s="6"/>
        <tr r="X14" s="6"/>
        <tr r="Y16" s="6"/>
        <tr r="Y16" s="6"/>
        <tr r="X23" s="6"/>
        <tr r="X23" s="6"/>
        <tr r="W13" s="7"/>
        <tr r="W13" s="7"/>
        <tr r="AN17" s="1"/>
        <tr r="AN17" s="1"/>
        <tr r="W17" s="7"/>
        <tr r="W17" s="7"/>
        <tr r="AN12" s="1"/>
        <tr r="AN12" s="1"/>
        <tr r="X14" s="7"/>
        <tr r="X14" s="7"/>
        <tr r="X17" s="7"/>
        <tr r="X17" s="7"/>
        <tr r="W24" s="7"/>
        <tr r="W24" s="7"/>
        <tr r="AN13" s="1"/>
        <tr r="AN13" s="1"/>
        <tr r="AE12" s="4"/>
        <tr r="AE12" s="4"/>
        <tr r="W14" s="7"/>
        <tr r="W14" s="7"/>
        <tr r="AO12" s="1"/>
        <tr r="AO12" s="1"/>
        <tr r="X24" s="7"/>
        <tr r="X24" s="7"/>
        <tr r="AD12" s="4"/>
        <tr r="AD12" s="4"/>
        <tr r="X13" s="7"/>
        <tr r="X13" s="7"/>
        <tr r="AO13" s="1"/>
        <tr r="AO13" s="1"/>
        <tr r="AO17" s="1"/>
        <tr r="AO17" s="1"/>
        <tr r="W20" s="7"/>
        <tr r="W20" s="7"/>
        <tr r="W11" s="7"/>
        <tr r="W11" s="7"/>
        <tr r="X23" s="7"/>
        <tr r="X23" s="7"/>
        <tr r="Y26" s="6"/>
        <tr r="Y26" s="6"/>
        <tr r="W23" s="7"/>
        <tr r="W23" s="7"/>
        <tr r="Y17" s="6"/>
        <tr r="Y17" s="6"/>
        <tr r="X11" s="7"/>
        <tr r="X11" s="7"/>
        <tr r="AE15" s="4"/>
        <tr r="AE15" s="4"/>
        <tr r="Y12" s="6"/>
        <tr r="Y12" s="6"/>
        <tr r="AD15" s="4"/>
        <tr r="AD15" s="4"/>
        <tr r="AO14" s="1"/>
        <tr r="AO14" s="1"/>
        <tr r="W16" s="7"/>
        <tr r="W16" s="7"/>
        <tr r="AN22" s="1"/>
        <tr r="AN22" s="1"/>
        <tr r="W15" s="7"/>
        <tr r="W15" s="7"/>
        <tr r="AN14" s="1"/>
        <tr r="AN14" s="1"/>
        <tr r="X16" s="7"/>
        <tr r="X16" s="7"/>
        <tr r="X15" s="7"/>
        <tr r="X15" s="7"/>
        <tr r="AO22" s="1"/>
        <tr r="AO22" s="1"/>
        <tr r="X11" s="6"/>
        <tr r="X11" s="6"/>
        <tr r="X20" s="7"/>
        <tr r="X20" s="7"/>
        <tr r="X17" s="6"/>
        <tr r="X17" s="6"/>
        <tr r="Y25" s="6"/>
        <tr r="Y25" s="6"/>
        <tr r="AN15" s="1"/>
        <tr r="AN15" s="1"/>
        <tr r="Y13" s="6"/>
        <tr r="Y13" s="6"/>
        <tr r="X24" s="6"/>
        <tr r="X24" s="6"/>
        <tr r="AN21" s="1"/>
        <tr r="AN21" s="1"/>
        <tr r="X13" s="6"/>
        <tr r="X13" s="6"/>
        <tr r="X12" s="6"/>
        <tr r="X12" s="6"/>
        <tr r="AE11" s="4"/>
        <tr r="AE11" s="4"/>
        <tr r="X26" s="6"/>
        <tr r="X26" s="6"/>
        <tr r="Y24" s="6"/>
        <tr r="Y24" s="6"/>
        <tr r="X25" s="6"/>
        <tr r="X25" s="6"/>
        <tr r="Y18" s="6"/>
        <tr r="Y18" s="6"/>
        <tr r="AO15" s="1"/>
        <tr r="AO15" s="1"/>
        <tr r="AD11" s="4"/>
        <tr r="AD11" s="4"/>
        <tr r="AO18" s="1"/>
        <tr r="AO18" s="1"/>
        <tr r="AO21" s="1"/>
        <tr r="AO21" s="1"/>
        <tr r="Y11" s="6"/>
        <tr r="Y11" s="6"/>
        <tr r="X18" s="6"/>
        <tr r="X18" s="6"/>
        <tr r="AN18" s="1"/>
        <tr r="AN18" s="1"/>
        <tr r="W21" s="7"/>
        <tr r="W21" s="7"/>
        <tr r="X21" s="7"/>
        <tr r="X21" s="7"/>
        <tr r="AG24" s="1"/>
        <tr r="AG24" s="1"/>
        <tr r="AD17" s="1"/>
        <tr r="AD17" s="1"/>
        <tr r="AD21" s="1"/>
        <tr r="AD21" s="1"/>
        <tr r="AD26" s="1"/>
        <tr r="AD26" s="1"/>
        <tr r="AD18" s="1"/>
        <tr r="AD18" s="1"/>
        <tr r="AG15" s="1"/>
        <tr r="AG15" s="1"/>
        <tr r="AG16" s="1"/>
        <tr r="AG16" s="1"/>
        <tr r="AG19" s="1"/>
        <tr r="AG19" s="1"/>
        <tr r="AD24" s="1"/>
        <tr r="AD24" s="1"/>
        <tr r="AG22" s="1"/>
        <tr r="AG22" s="1"/>
        <tr r="AD25" s="1"/>
        <tr r="AD25" s="1"/>
        <tr r="AG23" s="1"/>
        <tr r="AG23" s="1"/>
        <tr r="AD11" s="5"/>
        <tr r="AD11" s="5"/>
        <tr r="AD12" s="1"/>
        <tr r="AD12" s="1"/>
        <tr r="AD28" s="1"/>
        <tr r="AD28" s="1"/>
        <tr r="AG26" s="1"/>
        <tr r="AG26" s="1"/>
        <tr r="AD12" s="5"/>
        <tr r="AD12" s="5"/>
        <tr r="AD11" s="1"/>
        <tr r="AD11" s="1"/>
        <tr r="AD27" s="1"/>
        <tr r="AD27" s="1"/>
        <tr r="AG25" s="1"/>
        <tr r="AG25" s="1"/>
        <tr r="AD13" s="1"/>
        <tr r="AD13" s="1"/>
        <tr r="AG11" s="1"/>
        <tr r="AG11" s="1"/>
        <tr r="AG27" s="1"/>
        <tr r="AG27" s="1"/>
        <tr r="AD13" s="5"/>
        <tr r="AD13" s="5"/>
        <tr r="AD14" s="1"/>
        <tr r="AD14" s="1"/>
        <tr r="AG12" s="1"/>
        <tr r="AG12" s="1"/>
        <tr r="AG28" s="1"/>
        <tr r="AG28" s="1"/>
        <tr r="AD15" s="1"/>
        <tr r="AD15" s="1"/>
        <tr r="AG13" s="1"/>
        <tr r="AG13" s="1"/>
        <tr r="AD16" s="1"/>
        <tr r="AD16" s="1"/>
        <tr r="AG14" s="1"/>
        <tr r="AG14" s="1"/>
        <tr r="AD19" s="1"/>
        <tr r="AD19" s="1"/>
        <tr r="AG17" s="1"/>
        <tr r="AG17" s="1"/>
        <tr r="AD20" s="1"/>
        <tr r="AD20" s="1"/>
        <tr r="AG18" s="1"/>
        <tr r="AG18" s="1"/>
        <tr r="AD22" s="1"/>
        <tr r="AD22" s="1"/>
        <tr r="AG20" s="1"/>
        <tr r="AG20" s="1"/>
        <tr r="AD23" s="1"/>
        <tr r="AD23" s="1"/>
        <tr r="AG21" s="1"/>
        <tr r="AG21" s="1"/>
      </tp>
    </main>
    <main first="bofaddin.rtdserver">
      <tp t="s">
        <v>#N/A Requesting Data...4257556113</v>
        <stp/>
        <stp>BDP|324582632185633300</stp>
        <tr r="C63" s="12"/>
      </tp>
      <tp t="s">
        <v>#N/A Requesting Data...3713541447</v>
        <stp/>
        <stp>BDP|831153075792480439</stp>
        <tr r="AO51" s="14"/>
        <tr r="AO51" s="14"/>
      </tp>
      <tp t="s">
        <v>#N/A Requesting Data...4123080273</v>
        <stp/>
        <stp>BDP|266205218045507644</stp>
        <tr r="AS101" s="14"/>
      </tp>
      <tp t="s">
        <v>#N/A Requesting Data...2616952635</v>
        <stp/>
        <stp>BDP|433543977481167324</stp>
        <tr r="AH29" s="14"/>
      </tp>
      <tp t="s">
        <v>#N/A N/A</v>
        <stp/>
        <stp>BDP|248358036283349349</stp>
        <tr r="AH81" s="14"/>
        <tr r="AH81" s="14"/>
      </tp>
      <tp t="s">
        <v>#N/A Requesting Data...2618396698</v>
        <stp/>
        <stp>BDP|622457167777139550</stp>
        <tr r="AP16" s="14"/>
      </tp>
      <tp t="s">
        <v>#N/A N/A</v>
        <stp/>
        <stp>BDP|422670814027434037</stp>
        <tr r="AL23" s="1"/>
      </tp>
      <tp t="s">
        <v>#N/A Requesting Data...4240384883</v>
        <stp/>
        <stp>BDP|291598478336453462</stp>
        <tr r="AN89" s="14"/>
      </tp>
      <tp t="s">
        <v>#N/A Requesting Data...3455220647</v>
        <stp/>
        <stp>BDP|181513316596126253</stp>
        <tr r="AU25" s="14"/>
      </tp>
      <tp t="s">
        <v>#N/A N/A</v>
        <stp/>
        <stp>BADDPERIODS|627081240044528520</stp>
        <tr r="J26" s="6"/>
      </tp>
    </main>
    <main first="bofaddin.rtdserver">
      <tp t="s">
        <v>#N/A Requesting Data...4013382000</v>
        <stp/>
        <stp>BDP|603067533493896310</stp>
        <tr r="AQ43" s="14"/>
      </tp>
      <tp t="s">
        <v>#N/A N/A</v>
        <stp/>
        <stp>BDP|782410530457602348</stp>
        <tr r="J49" s="14"/>
        <tr r="J49" s="14"/>
      </tp>
      <tp t="s">
        <v>#N/A N/A</v>
        <stp/>
        <stp>BDP|666573417764372327</stp>
        <tr r="I48" s="16"/>
        <tr r="I50" s="16"/>
        <tr r="I51" s="16"/>
        <tr r="I72" s="16"/>
        <tr r="I70" s="16"/>
      </tp>
      <tp t="s">
        <v>#N/A Requesting Data...2645564693</v>
        <stp/>
        <stp>BDP|719296054733874752</stp>
        <tr r="AR102" s="14"/>
      </tp>
      <tp t="s">
        <v>#N/A Requesting Data...4250122497</v>
        <stp/>
        <stp>BDP|243908049028285689</stp>
        <tr r="K46" s="14"/>
      </tp>
      <tp t="s">
        <v>#N/A Requesting Data...3844865051</v>
        <stp/>
        <stp>BDP|565385305069916900</stp>
        <tr r="AH86" s="14"/>
      </tp>
      <tp t="s">
        <v>#N/A Requesting Data...2508646134</v>
        <stp/>
        <stp>BDP|604942419609940237</stp>
        <tr r="D81" s="16"/>
        <tr r="E83" s="14"/>
      </tp>
      <tp t="s">
        <v>#N/A Requesting Data...2723455336</v>
        <stp/>
        <stp>BDP|162727142978694865</stp>
        <tr r="AE104" s="14"/>
      </tp>
      <tp t="s">
        <v>#N/A N/A</v>
        <stp/>
        <stp>BDP|495829273559772508</stp>
        <tr r="P25" s="7"/>
      </tp>
      <tp t="s">
        <v>#N/A Requesting Data...2684222552</v>
        <stp/>
        <stp>BDP|869768213321956476</stp>
        <tr r="C20" s="16"/>
        <tr r="D22" s="14"/>
      </tp>
      <tp t="s">
        <v>#N/A Requesting Data...4192048533</v>
        <stp/>
        <stp>BDP|466587270780637195</stp>
        <tr r="C100" s="12"/>
      </tp>
    </main>
    <main first="bofaddin.rtdserver">
      <tp t="s">
        <v>#N/A N/A</v>
        <stp/>
        <stp>BDH|825264317816542700</stp>
        <tr r="AE13" s="14"/>
      </tp>
      <tp t="s">
        <v>#N/A Requesting Data...2533219611</v>
        <stp/>
        <stp>BDP|708436338882881787</stp>
        <tr r="AF53" s="14"/>
      </tp>
      <tp t="s">
        <v>#N/A N/A</v>
        <stp/>
        <stp>BDP|482657521713534581</stp>
        <tr r="I15" s="6"/>
      </tp>
      <tp t="s">
        <v>#N/A Requesting Data...3715407093</v>
        <stp/>
        <stp>BDP|169126733418458893</stp>
        <tr r="AE25" s="14"/>
      </tp>
      <tp t="s">
        <v>#N/A Requesting Data...3858582668</v>
        <stp/>
        <stp>BDP|170406211881822618</stp>
        <tr r="AD98" s="14"/>
      </tp>
      <tp t="s">
        <v>#N/A N/A</v>
        <stp/>
        <stp>BDP|644557938480344428</stp>
        <tr r="S25" s="6"/>
      </tp>
      <tp t="s">
        <v>#N/A N/A</v>
        <stp/>
        <stp>BDP|889360450076768225</stp>
        <tr r="T25" s="7"/>
      </tp>
      <tp t="s">
        <v>#N/A Requesting Data...3560792863</v>
        <stp/>
        <stp>BDP|321912680596148569</stp>
        <tr r="E77" s="16"/>
      </tp>
      <tp t="s">
        <v>#N/A N/A</v>
        <stp/>
        <stp>BDH|218485032941845457</stp>
        <tr r="W13" s="7"/>
      </tp>
      <tp t="s">
        <v>#N/A Requesting Data...3737203830</v>
        <stp/>
        <stp>BDP|693362302250021147</stp>
        <tr r="AU23" s="14"/>
      </tp>
      <tp t="s">
        <v>#N/A Requesting Data...3417623810</v>
        <stp/>
        <stp>BDP|688865612269242206</stp>
        <tr r="F80" s="16"/>
      </tp>
      <tp t="s">
        <v>#N/A Requesting Data...2678005426</v>
        <stp/>
        <stp>BDP|652916524281122820</stp>
        <tr r="G13" s="14"/>
      </tp>
      <tp t="s">
        <v>#N/A Requesting Data...3730289241</v>
        <stp/>
        <stp>BDP|889890098935307684</stp>
        <tr r="G57" s="14"/>
      </tp>
      <tp t="s">
        <v>#N/A Requesting Data...2990453941</v>
        <stp/>
        <stp>BDP|670941073838749455</stp>
        <tr r="E50" s="16"/>
      </tp>
      <tp t="s">
        <v>#N/A Requesting Data...4127280867</v>
        <stp/>
        <stp>BDP|846883131400371916</stp>
        <tr r="K98" s="14"/>
      </tp>
    </main>
    <main first="bofaddin.rtdserver">
      <tp t="s">
        <v>#N/A N/A</v>
        <stp/>
        <stp>BDH|376807971994754686</stp>
        <tr r="AI89" s="14"/>
      </tp>
      <tp t="s">
        <v>#N/A Requesting Data...2797850597</v>
        <stp/>
        <stp>BDP|720911307830491480</stp>
        <tr r="AD78" s="14"/>
      </tp>
      <tp t="s">
        <v>#N/A N/A</v>
        <stp/>
        <stp>BDP|827468663326723940</stp>
        <tr r="F21" s="6"/>
      </tp>
      <tp t="s">
        <v>#N/A Requesting Data...3962850613</v>
        <stp/>
        <stp>BDP|787196496864262153</stp>
        <tr r="AF92" s="14"/>
      </tp>
      <tp t="s">
        <v>#N/A N/A</v>
        <stp/>
        <stp>BDP|922894368446063570</stp>
        <tr r="E20" s="6"/>
      </tp>
      <tp t="s">
        <v>#N/A Requesting Data...2658064874</v>
        <stp/>
        <stp>BDP|441661481950833327</stp>
        <tr r="E97" s="16"/>
      </tp>
      <tp t="s">
        <v>#N/A Requesting Data...3738506621</v>
        <stp/>
        <stp>BDP|295161811025300825</stp>
        <tr r="AN72" s="14"/>
      </tp>
      <tp t="s">
        <v>#N/A Requesting Data...4081465868</v>
        <stp/>
        <stp>BDP|400877776833284128</stp>
        <tr r="E89" s="16"/>
        <tr r="E88" s="16"/>
      </tp>
      <tp t="s">
        <v>#N/A N/A</v>
        <stp/>
        <stp>BDP|945975720522946479</stp>
        <tr r="J14" s="1"/>
      </tp>
    </main>
    <main first="bofaddin.rtdserver">
      <tp t="s">
        <v>#N/A N/A</v>
        <stp/>
        <stp>BDP|397532192458774894</stp>
        <tr r="D12" s="1"/>
      </tp>
      <tp t="s">
        <v>#N/A Requesting Data...3069868054</v>
        <stp/>
        <stp>BDP|996153496671278548</stp>
        <tr r="AR60" s="14"/>
      </tp>
      <tp t="s">
        <v>#N/A Requesting Data...3096588004</v>
        <stp/>
        <stp>BDP|790977936347360188</stp>
        <tr r="K23" s="14"/>
      </tp>
      <tp t="s">
        <v>#N/A Requesting Data...3672036851</v>
        <stp/>
        <stp>BDP|795035050630991926</stp>
        <tr r="D102" s="14"/>
        <tr r="C100" s="16"/>
      </tp>
      <tp t="s">
        <v>#N/A N/A</v>
        <stp/>
        <stp>BDP|291916307591542457</stp>
        <tr r="J23" s="14"/>
      </tp>
      <tp t="s">
        <v>#N/A Requesting Data...4022548634</v>
        <stp/>
        <stp>BDP|417519387571795019</stp>
        <tr r="AP80" s="14"/>
      </tp>
      <tp t="s">
        <v>#N/A N/A</v>
        <stp/>
        <stp>BDH|430809133596821191</stp>
        <tr r="AE61" s="14"/>
      </tp>
      <tp t="s">
        <v>#N/A Requesting Data...2961003085</v>
        <stp/>
        <stp>BDP|202818604093592725</stp>
        <tr r="C102" s="12"/>
      </tp>
      <tp t="s">
        <v>#N/A N/A</v>
        <stp/>
        <stp>BCOUNTPERIODS|4955552656614612095</stp>
        <tr r="AF12" s="1"/>
        <tr r="AF13" s="1"/>
        <tr r="AF14" s="1"/>
        <tr r="AF16" s="1"/>
        <tr r="AF17" s="1"/>
        <tr r="AF23" s="1"/>
        <tr r="AF11" s="1"/>
        <tr r="AF22" s="1"/>
        <tr r="AF19" s="1"/>
        <tr r="AF15" s="1"/>
        <tr r="AF18" s="1"/>
        <tr r="AF20" s="1"/>
        <tr r="AF21" s="1"/>
      </tp>
      <tp t="s">
        <v>#N/A Requesting Data...3535550838</v>
        <stp/>
        <stp>BDP|235504894436627634</stp>
        <tr r="AT42" s="14"/>
      </tp>
      <tp t="s">
        <v>#N/A N/A</v>
        <stp/>
        <stp>BCHAIN|2634854962213810129</stp>
        <tr r="B11" s="4"/>
      </tp>
      <tp t="s">
        <v>#N/A Requesting Data...2618560446</v>
        <stp/>
        <stp>BDP|259621453385859974</stp>
        <tr r="H74" s="14"/>
      </tp>
      <tp t="s">
        <v>#N/A Requesting Data...2325077652</v>
        <stp/>
        <stp>BDP|643074785680142796</stp>
        <tr r="G76" s="14"/>
      </tp>
      <tp t="s">
        <v>#N/A N/A</v>
        <stp/>
        <stp>BDP|532049109086153972</stp>
        <tr r="L31" s="16"/>
        <tr r="L52" s="16"/>
        <tr r="L53" s="16"/>
        <tr r="L90" s="16"/>
      </tp>
      <tp t="s">
        <v>#N/A Requesting Data...3566219059</v>
        <stp/>
        <stp>BDP|246090206707708838</stp>
        <tr r="AE92" s="14"/>
      </tp>
      <tp t="s">
        <v>#N/A Requesting Data...4177380020</v>
        <stp/>
        <stp>BDP|312837058246172427</stp>
        <tr r="C21" s="16"/>
        <tr r="D23" s="14"/>
      </tp>
      <tp t="s">
        <v>#N/A Requesting Data...3140266859</v>
        <stp/>
        <stp>BDP|533520017072793930</stp>
        <tr r="AM89" s="14"/>
      </tp>
      <tp t="s">
        <v>#N/A Requesting Data...2794810394</v>
        <stp/>
        <stp>BDP|728663389847431686</stp>
        <tr r="C62" s="14"/>
      </tp>
      <tp t="s">
        <v>#N/A N/A</v>
        <stp/>
        <stp>BDP|540891741694190788</stp>
        <tr r="I97" s="16"/>
        <tr r="I96" s="16"/>
        <tr r="I98" s="16"/>
        <tr r="I95" s="16"/>
      </tp>
      <tp t="s">
        <v>#N/A Requesting Data...4206353026</v>
        <stp/>
        <stp>BDP|698941245230743257</stp>
        <tr r="H53" s="14"/>
      </tp>
      <tp t="s">
        <v>#N/A Requesting Data...2466655549</v>
        <stp/>
        <stp>BDP|625430596887062554</stp>
        <tr r="G23" s="14"/>
      </tp>
      <tp t="s">
        <v>#N/A Requesting Data...3981780240</v>
        <stp/>
        <stp>BDP|280840910581686776</stp>
        <tr r="AT86" s="14"/>
      </tp>
      <tp t="s">
        <v>#N/A Requesting Data...3446582365</v>
        <stp/>
        <stp>BDP|495078092693463554</stp>
        <tr r="AS41" s="14"/>
      </tp>
      <tp t="s">
        <v>#N/A Requesting Data...2740229092</v>
        <stp/>
        <stp>BDP|109856755552073008</stp>
        <tr r="AU99" s="14"/>
      </tp>
      <tp t="s">
        <v>#N/A N/A</v>
        <stp/>
        <stp>BDP|138066877378968082</stp>
        <tr r="AH54" s="14"/>
        <tr r="AH54" s="14"/>
      </tp>
      <tp t="s">
        <v>#N/A Requesting Data...3732884194</v>
        <stp/>
        <stp>BDP|322953544475709746</stp>
        <tr r="K101" s="14"/>
      </tp>
      <tp t="s">
        <v>#N/A N/A</v>
        <stp/>
        <stp>BDP|755138993572330578</stp>
        <tr r="V24" s="6"/>
      </tp>
      <tp t="s">
        <v>#N/A N/A</v>
        <stp/>
        <stp>BDP|288197024848587498</stp>
        <tr r="E14" s="7"/>
      </tp>
    </main>
    <main first="bofaddin.rtdserver">
      <tp t="s">
        <v>#N/A Requesting Data...3313914583</v>
        <stp/>
        <stp>BDP|725638983592082294</stp>
        <tr r="E97" s="14"/>
        <tr r="D95" s="16"/>
      </tp>
      <tp t="s">
        <v>#N/A N/A</v>
        <stp/>
        <stp>BDH|574422469504333837</stp>
        <tr r="AE28" s="14"/>
      </tp>
      <tp t="s">
        <v>#N/A N/A</v>
        <stp/>
        <stp>BDP|264942926827602288</stp>
        <tr r="K53" s="16"/>
        <tr r="K90" s="16"/>
        <tr r="K31" s="16"/>
        <tr r="K52" s="16"/>
      </tp>
      <tp t="s">
        <v>#N/A Requesting Data...4112803386</v>
        <stp/>
        <stp>BDP|165893220272414659</stp>
        <tr r="AK101" s="14"/>
      </tp>
      <tp t="s">
        <v>#N/A N/A</v>
        <stp/>
        <stp>BDP|422368926367096828</stp>
        <tr r="AH47" s="14"/>
        <tr r="AH47" s="14"/>
      </tp>
      <tp t="s">
        <v>#N/A Requesting Data...3379408676</v>
        <stp/>
        <stp>BDP|149943632470961488</stp>
        <tr r="AS28" s="14"/>
      </tp>
      <tp t="s">
        <v>#N/A Requesting Data...3516586042</v>
        <stp/>
        <stp>BDP|977729576069317782</stp>
        <tr r="D91" s="12"/>
      </tp>
      <tp t="s">
        <v>#N/A Requesting Data...4000855664</v>
        <stp/>
        <stp>BDP|142921636450580471</stp>
        <tr r="G15" s="14"/>
      </tp>
      <tp t="s">
        <v>#N/A N/A</v>
        <stp/>
        <stp>BDP|667539921891402876</stp>
        <tr r="V19" s="6"/>
      </tp>
      <tp t="s">
        <v>#N/A Requesting Data...2659257736</v>
        <stp/>
        <stp>BDP|309458520121147941</stp>
        <tr r="H51" s="16"/>
        <tr r="H51" s="16"/>
        <tr r="F53" s="14"/>
        <tr r="F53" s="14"/>
      </tp>
    </main>
    <main first="bofaddin.rtdserver">
      <tp t="s">
        <v>#N/A N/A</v>
        <stp/>
        <stp>BDH|831171193617751679</stp>
        <tr r="AE99" s="14"/>
      </tp>
      <tp t="s">
        <v>#N/A Requesting Data...4264022258</v>
        <stp/>
        <stp>BDP|289581577748988387</stp>
        <tr r="AB40" s="14"/>
        <tr r="AB40" s="14"/>
      </tp>
      <tp t="s">
        <v>#N/A N/A</v>
        <stp/>
        <stp>BDH|750494952218190034</stp>
        <tr r="W17" s="7"/>
      </tp>
      <tp t="s">
        <v>#N/A Requesting Data...2924226822</v>
        <stp/>
        <stp>BDP|799677236909030583</stp>
        <tr r="AP106" s="14"/>
      </tp>
      <tp t="s">
        <v>#N/A Requesting Data...3553514194</v>
        <stp/>
        <stp>BDP|704844313658889807</stp>
        <tr r="AF103" s="14"/>
      </tp>
      <tp t="s">
        <v>#N/A Requesting Data...4258995312</v>
        <stp/>
        <stp>BDP|269383292296437551</stp>
        <tr r="AR75" s="14"/>
      </tp>
      <tp t="s">
        <v>#N/A Requesting Data...4012698731</v>
        <stp/>
        <stp>BDP|688050327338602387</stp>
        <tr r="H56" s="14"/>
      </tp>
      <tp t="s">
        <v>#N/A Requesting Data...2391879750</v>
        <stp/>
        <stp>BDP|864829667464674306</stp>
        <tr r="D44" s="14"/>
        <tr r="C42" s="16"/>
      </tp>
      <tp t="s">
        <v>#N/A Requesting Data...2291118282</v>
        <stp/>
        <stp>BDP|867896147781033434</stp>
        <tr r="AM87" s="14"/>
      </tp>
      <tp t="s">
        <v>#N/A Requesting Data...3601827407</v>
        <stp/>
        <stp>BDP|587262261734236961</stp>
        <tr r="G40" s="14"/>
      </tp>
      <tp t="s">
        <v>#N/A Requesting Data...2441805899</v>
        <stp/>
        <stp>BDP|523956341360553433</stp>
        <tr r="AE26" s="14"/>
      </tp>
      <tp t="s">
        <v>#N/A Requesting Data...3490324985</v>
        <stp/>
        <stp>BDP|795928718360793191</stp>
        <tr r="AD73" s="14"/>
      </tp>
      <tp t="s">
        <v>#N/A Requesting Data...2669823303</v>
        <stp/>
        <stp>BDP|721427960972258946</stp>
        <tr r="AU49" s="14"/>
      </tp>
      <tp t="s">
        <v>#N/A Requesting Data...2613631042</v>
        <stp/>
        <stp>BDP|205722365958470028</stp>
        <tr r="C106" s="14"/>
      </tp>
    </main>
    <main first="bofaddin.rtdserver">
      <tp t="s">
        <v>#N/A Requesting Data...3113971888</v>
        <stp/>
        <stp>BDP|426399888557974413</stp>
        <tr r="K51" s="14"/>
      </tp>
      <tp t="s">
        <v>#N/A Requesting Data...3340894105</v>
        <stp/>
        <stp>BDP|357911545826869329</stp>
        <tr r="G106" s="14"/>
      </tp>
      <tp t="s">
        <v>#N/A N/A</v>
        <stp/>
        <stp>BDS|460013930589964229</stp>
        <tr r="AI34" s="14"/>
        <tr r="AI34" s="14"/>
        <tr r="AI24" s="14"/>
        <tr r="AI24" s="14"/>
        <tr r="AI32" s="14"/>
        <tr r="AI32" s="14"/>
        <tr r="AI25" s="14"/>
        <tr r="AI25" s="14"/>
        <tr r="AI29" s="14"/>
        <tr r="AI29" s="14"/>
        <tr r="AI31" s="14"/>
        <tr r="AI31" s="14"/>
        <tr r="AI30" s="14"/>
        <tr r="AI30" s="14"/>
        <tr r="AI35" s="14"/>
        <tr r="AI35" s="14"/>
      </tp>
      <tp t="s">
        <v>#N/A N/A</v>
        <stp/>
        <stp>BDP|610947193481657986</stp>
        <tr r="G14" s="1"/>
      </tp>
      <tp t="s">
        <v>#N/A N/A</v>
        <stp/>
        <stp>BDP|213200889317627527</stp>
        <tr r="P15" s="6"/>
      </tp>
      <tp t="s">
        <v>#N/A Requesting Data...3815806831</v>
        <stp/>
        <stp>BDP|743955067756169104</stp>
        <tr r="AR74" s="14"/>
      </tp>
      <tp t="s">
        <v>#N/A Requesting Data...4049132975</v>
        <stp/>
        <stp>BDP|155488399817115272</stp>
        <tr r="AF44" s="14"/>
      </tp>
      <tp t="s">
        <v>#N/A Requesting Data...3524925929</v>
        <stp/>
        <stp>BDP|418081187393569380</stp>
        <tr r="AM35" s="14"/>
      </tp>
    </main>
    <main first="bofaddin.rtdserver">
      <tp t="s">
        <v>#N/A Requesting Data...2830047139</v>
        <stp/>
        <stp>BDP|542051522801829863</stp>
        <tr r="G72" s="16"/>
      </tp>
      <tp t="s">
        <v>#N/A N/A</v>
        <stp/>
        <stp>BDP|801417481562534524</stp>
        <tr r="I22" s="6"/>
      </tp>
      <tp t="s">
        <v>#N/A N/A</v>
        <stp/>
        <stp>BDP|576154712038359387</stp>
        <tr r="U15" s="7"/>
      </tp>
      <tp t="s">
        <v>#N/A Requesting Data...2822695727</v>
        <stp/>
        <stp>BDP|984053687670360325</stp>
        <tr r="AT53" s="14"/>
      </tp>
      <tp t="s">
        <v>#N/A N/A</v>
        <stp/>
        <stp>BDP|519200162886057924</stp>
        <tr r="L28" s="16"/>
        <tr r="L27" s="16"/>
      </tp>
      <tp t="s">
        <v>#N/A Requesting Data...3953295416</v>
        <stp/>
        <stp>BDP|648841977515974195</stp>
        <tr r="AT73" s="14"/>
      </tp>
      <tp t="s">
        <v>#N/A Requesting Data...2892354715</v>
        <stp/>
        <stp>BDP|562910971852197722</stp>
        <tr r="AP48" s="14"/>
      </tp>
      <tp t="s">
        <v>#N/A Requesting Data...3671047522</v>
        <stp/>
        <stp>BDP|697572007068613673</stp>
        <tr r="C103" s="14"/>
      </tp>
      <tp t="s">
        <v>#N/A N/A</v>
        <stp/>
        <stp>BDP|136489709478599752</stp>
        <tr r="S26" s="6"/>
      </tp>
      <tp t="s">
        <v>#N/A Requesting Data...3832315746</v>
        <stp/>
        <stp>BDP|490933381649485300</stp>
        <tr r="E73" s="14"/>
        <tr r="D71" s="16"/>
      </tp>
      <tp t="s">
        <v>#N/A Requesting Data...2856315724</v>
        <stp/>
        <stp>BDP|432965533521015025</stp>
        <tr r="AE88" s="14"/>
      </tp>
    </main>
    <main first="bofaddin.rtdserver">
      <tp t="s">
        <v>#N/A Requesting Data...2372595804</v>
        <stp/>
        <stp>BDP|706496665859614105</stp>
        <tr r="AR34" s="14"/>
      </tp>
      <tp t="s">
        <v>#N/A Requesting Data...4225989637</v>
        <stp/>
        <stp>BDP|391285462887347941</stp>
        <tr r="H28" s="14"/>
      </tp>
      <tp t="s">
        <v>#N/A Requesting Data...3063426797</v>
        <stp/>
        <stp>BDP|239091985054627679</stp>
        <tr r="F105" s="16"/>
      </tp>
      <tp t="s">
        <v>#N/A Requesting Data...3877684966</v>
        <stp/>
        <stp>BDP|753909839124552445</stp>
        <tr r="AK99" s="14"/>
      </tp>
      <tp t="s">
        <v>#N/A N/A</v>
        <stp/>
        <stp>BDP|619172377258948407</stp>
        <tr r="E15" s="7"/>
      </tp>
      <tp t="s">
        <v>#N/A N/A</v>
        <stp/>
        <stp>BDP|848648295691491427</stp>
        <tr r="AC13" s="1"/>
      </tp>
      <tp t="s">
        <v>#N/A Requesting Data...2867375233</v>
        <stp/>
        <stp>BDP|252246954608801533</stp>
        <tr r="G90" s="14"/>
        <tr r="G91" s="14"/>
      </tp>
      <tp t="s">
        <v>#N/A Requesting Data...2712165424</v>
        <stp/>
        <stp>BDP|855260199467390612</stp>
        <tr r="AM102" s="14"/>
      </tp>
      <tp t="s">
        <v>#N/A Requesting Data...3622424551</v>
        <stp/>
        <stp>BDP|948539189517234073</stp>
        <tr r="AR62" s="14"/>
      </tp>
      <tp t="s">
        <v>#N/A Requesting Data...3543364653</v>
        <stp/>
        <stp>BDP|987086024799011131</stp>
        <tr r="AS65" s="14"/>
      </tp>
      <tp t="s">
        <v>#N/A Requesting Data...4170240449</v>
        <stp/>
        <stp>BDP|669934492489046313</stp>
        <tr r="AP103" s="14"/>
      </tp>
      <tp t="s">
        <v>#N/A N/A</v>
        <stp/>
        <stp>BDP|591824453264124370</stp>
        <tr r="X11" s="4"/>
      </tp>
      <tp t="s">
        <v>#N/A Requesting Data...2523644484</v>
        <stp/>
        <stp>BDP|448211843809288577</stp>
        <tr r="AM71" s="14"/>
      </tp>
    </main>
    <main first="bofaddin.rtdserver">
      <tp t="s">
        <v>#N/A Requesting Data...2794793667</v>
        <stp/>
        <stp>BDP|986049558717108</stp>
        <tr r="G32" s="14"/>
      </tp>
    </main>
  </volType>
</volTypes>
</file>

<file path=xl/_rels/vbaProject.bin.rels><?xml version="1.0" encoding="UTF-8" standalone="yes"?>
<Relationships xmlns="http://schemas.openxmlformats.org/package/2006/relationships"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volatileDependencies" Target="volatileDependencies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3974259860874032"/>
          <c:y val="9.2593998039401711E-3"/>
        </c:manualLayout>
      </c:layout>
      <c:overlay val="0"/>
      <c:txPr>
        <a:bodyPr/>
        <a:lstStyle/>
        <a:p>
          <a:pPr>
            <a:defRPr sz="1800" b="1" i="0" u="none" strike="noStrike" baseline="0">
              <a:solidFill>
                <a:srgbClr val="666699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63361774311973E-2"/>
          <c:y val="0.13924795858850977"/>
          <c:w val="0.87921580541982092"/>
          <c:h val="0.69786136672674948"/>
        </c:manualLayout>
      </c:layout>
      <c:scatterChart>
        <c:scatterStyle val="lineMarker"/>
        <c:varyColors val="0"/>
        <c:ser>
          <c:idx val="0"/>
          <c:order val="0"/>
          <c:tx>
            <c:v>NTN-B</c:v>
          </c:tx>
          <c:spPr>
            <a:ln w="28575">
              <a:noFill/>
            </a:ln>
          </c:spPr>
          <c:trendline>
            <c:spPr>
              <a:ln w="19050">
                <a:solidFill>
                  <a:schemeClr val="accent1"/>
                </a:solidFill>
                <a:prstDash val="lgDash"/>
              </a:ln>
            </c:spPr>
            <c:trendlineType val="log"/>
            <c:dispRSqr val="0"/>
            <c:dispEq val="0"/>
          </c:trendline>
          <c:xVal>
            <c:numRef>
              <c:f>[0]!durB</c:f>
              <c:numCache>
                <c:formatCode>0.000</c:formatCode>
                <c:ptCount val="13"/>
                <c:pt idx="0">
                  <c:v>1.0142949325006567</c:v>
                </c:pt>
                <c:pt idx="1">
                  <c:v>1.6608476258204312</c:v>
                </c:pt>
                <c:pt idx="2">
                  <c:v>2.6291784049926679</c:v>
                </c:pt>
                <c:pt idx="3">
                  <c:v>3.2346680926463089</c:v>
                </c:pt>
                <c:pt idx="4">
                  <c:v>4.0627213244360831</c:v>
                </c:pt>
                <c:pt idx="5">
                  <c:v>5.3220644097021754</c:v>
                </c:pt>
                <c:pt idx="6">
                  <c:v>5.8464897330458161</c:v>
                </c:pt>
                <c:pt idx="7">
                  <c:v>6.9190192778193662</c:v>
                </c:pt>
                <c:pt idx="8">
                  <c:v>9.0206686746200777</c:v>
                </c:pt>
                <c:pt idx="9">
                  <c:v>10.586438688681985</c:v>
                </c:pt>
                <c:pt idx="10">
                  <c:v>11.52153641036753</c:v>
                </c:pt>
                <c:pt idx="11">
                  <c:v>12.430297136877302</c:v>
                </c:pt>
                <c:pt idx="12">
                  <c:v>12.739080271781953</c:v>
                </c:pt>
              </c:numCache>
            </c:numRef>
          </c:xVal>
          <c:yVal>
            <c:numRef>
              <c:f>[0]!yieldB</c:f>
              <c:numCache>
                <c:formatCode>#,##0.0000</c:formatCode>
                <c:ptCount val="13"/>
                <c:pt idx="0">
                  <c:v>9.8149999999999995</c:v>
                </c:pt>
                <c:pt idx="1">
                  <c:v>8.7878000000000007</c:v>
                </c:pt>
                <c:pt idx="2">
                  <c:v>8.0088000000000008</c:v>
                </c:pt>
                <c:pt idx="3">
                  <c:v>7.6760000000000002</c:v>
                </c:pt>
                <c:pt idx="4">
                  <c:v>7.5636999999999999</c:v>
                </c:pt>
                <c:pt idx="5">
                  <c:v>7.4923999999999999</c:v>
                </c:pt>
                <c:pt idx="6">
                  <c:v>7.4116</c:v>
                </c:pt>
                <c:pt idx="7">
                  <c:v>7.2763</c:v>
                </c:pt>
                <c:pt idx="8">
                  <c:v>7.0926999999999998</c:v>
                </c:pt>
                <c:pt idx="9">
                  <c:v>7.0618999999999996</c:v>
                </c:pt>
                <c:pt idx="10">
                  <c:v>7.0133000000000001</c:v>
                </c:pt>
                <c:pt idx="11">
                  <c:v>6.9794</c:v>
                </c:pt>
                <c:pt idx="12">
                  <c:v>6.9878999999999998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133-4ED2-A8D5-7BAA78250F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1810816"/>
        <c:axId val="431829376"/>
      </c:scatterChart>
      <c:valAx>
        <c:axId val="4318108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333399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M Duration</a:t>
                </a:r>
              </a:p>
            </c:rich>
          </c:tx>
          <c:layout>
            <c:manualLayout>
              <c:xMode val="edge"/>
              <c:yMode val="edge"/>
              <c:x val="0.44019352825652036"/>
              <c:y val="0.91264965373304241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31829376"/>
        <c:crosses val="autoZero"/>
        <c:crossBetween val="midCat"/>
      </c:valAx>
      <c:valAx>
        <c:axId val="43182937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333399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Yield %</a:t>
                </a:r>
              </a:p>
            </c:rich>
          </c:tx>
          <c:layout>
            <c:manualLayout>
              <c:xMode val="edge"/>
              <c:yMode val="edge"/>
              <c:x val="5.0497953490079468E-3"/>
              <c:y val="0.40851974828447646"/>
            </c:manualLayout>
          </c:layout>
          <c:overlay val="0"/>
        </c:title>
        <c:numFmt formatCode="#,##0.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3181081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3974281646166774"/>
          <c:y val="9.2591741682157107E-3"/>
        </c:manualLayout>
      </c:layout>
      <c:overlay val="0"/>
      <c:txPr>
        <a:bodyPr/>
        <a:lstStyle/>
        <a:p>
          <a:pPr>
            <a:defRPr sz="1800" b="1" i="0" u="none" strike="noStrike" baseline="0">
              <a:solidFill>
                <a:srgbClr val="666699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63361774311973E-2"/>
          <c:y val="0.13924795858850977"/>
          <c:w val="0.87921580541982092"/>
          <c:h val="0.71926258554550704"/>
        </c:manualLayout>
      </c:layout>
      <c:scatterChart>
        <c:scatterStyle val="lineMarker"/>
        <c:varyColors val="0"/>
        <c:ser>
          <c:idx val="0"/>
          <c:order val="0"/>
          <c:tx>
            <c:v>NTN-F</c:v>
          </c:tx>
          <c:spPr>
            <a:ln w="28575">
              <a:noFill/>
            </a:ln>
          </c:spPr>
          <c:trendline>
            <c:spPr>
              <a:ln w="19050">
                <a:solidFill>
                  <a:srgbClr val="4F81BD"/>
                </a:solidFill>
                <a:prstDash val="lgDash"/>
              </a:ln>
            </c:spPr>
            <c:trendlineType val="log"/>
            <c:dispRSqr val="0"/>
            <c:dispEq val="0"/>
          </c:trendline>
          <c:xVal>
            <c:numRef>
              <c:f>[0]!durF</c:f>
              <c:numCache>
                <c:formatCode>0.0000</c:formatCode>
                <c:ptCount val="5"/>
                <c:pt idx="0">
                  <c:v>1.2144941446647044</c:v>
                </c:pt>
                <c:pt idx="1">
                  <c:v>2.537789891646014</c:v>
                </c:pt>
                <c:pt idx="2">
                  <c:v>3.572799371916846</c:v>
                </c:pt>
                <c:pt idx="3">
                  <c:v>4.3894628304761589</c:v>
                </c:pt>
                <c:pt idx="4">
                  <c:v>4.9930388427889829</c:v>
                </c:pt>
              </c:numCache>
            </c:numRef>
          </c:xVal>
          <c:yVal>
            <c:numRef>
              <c:f>[0]!yieldF</c:f>
              <c:numCache>
                <c:formatCode>#,##0.0000</c:formatCode>
                <c:ptCount val="5"/>
                <c:pt idx="0">
                  <c:v>14.2218</c:v>
                </c:pt>
                <c:pt idx="1">
                  <c:v>13.545500000000001</c:v>
                </c:pt>
                <c:pt idx="2">
                  <c:v>13.769500000000001</c:v>
                </c:pt>
                <c:pt idx="3">
                  <c:v>13.7338</c:v>
                </c:pt>
                <c:pt idx="4">
                  <c:v>13.8377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51-48F7-B876-174DE2116C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2221184"/>
        <c:axId val="432231552"/>
      </c:scatterChart>
      <c:valAx>
        <c:axId val="4322211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333399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M Duration</a:t>
                </a:r>
              </a:p>
            </c:rich>
          </c:tx>
          <c:layout>
            <c:manualLayout>
              <c:xMode val="edge"/>
              <c:yMode val="edge"/>
              <c:x val="0.4127298989587086"/>
              <c:y val="0.91378934397126088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32231552"/>
        <c:crosses val="autoZero"/>
        <c:crossBetween val="midCat"/>
      </c:valAx>
      <c:valAx>
        <c:axId val="43223155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333399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Yield %</a:t>
                </a:r>
              </a:p>
            </c:rich>
          </c:tx>
          <c:layout>
            <c:manualLayout>
              <c:xMode val="edge"/>
              <c:yMode val="edge"/>
              <c:x val="0"/>
              <c:y val="0.3930689167832801"/>
            </c:manualLayout>
          </c:layout>
          <c:overlay val="0"/>
        </c:title>
        <c:numFmt formatCode="#,##0.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3222118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3974288119645427"/>
          <c:y val="9.2592665318331473E-3"/>
        </c:manualLayout>
      </c:layout>
      <c:overlay val="0"/>
      <c:txPr>
        <a:bodyPr/>
        <a:lstStyle/>
        <a:p>
          <a:pPr>
            <a:defRPr sz="1800" b="1" i="0" u="none" strike="noStrike" baseline="0">
              <a:solidFill>
                <a:srgbClr val="666699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348515921040416"/>
          <c:y val="0.13924795858850977"/>
          <c:w val="0.86206682364061404"/>
          <c:h val="0.71629901623893022"/>
        </c:manualLayout>
      </c:layout>
      <c:scatterChart>
        <c:scatterStyle val="lineMarker"/>
        <c:varyColors val="0"/>
        <c:ser>
          <c:idx val="0"/>
          <c:order val="0"/>
          <c:tx>
            <c:v>NTN-C</c:v>
          </c:tx>
          <c:spPr>
            <a:ln w="28575">
              <a:noFill/>
            </a:ln>
          </c:spPr>
          <c:trendline>
            <c:spPr>
              <a:ln w="19050">
                <a:solidFill>
                  <a:srgbClr val="4F81BD"/>
                </a:solidFill>
                <a:prstDash val="lgDash"/>
              </a:ln>
            </c:spPr>
            <c:trendlineType val="log"/>
            <c:dispRSqr val="0"/>
            <c:dispEq val="0"/>
          </c:trendline>
          <c:xVal>
            <c:numRef>
              <c:f>[0]!durC</c:f>
              <c:numCache>
                <c:formatCode>0.000</c:formatCode>
                <c:ptCount val="1"/>
                <c:pt idx="0">
                  <c:v>3.8636596234872487</c:v>
                </c:pt>
              </c:numCache>
            </c:numRef>
          </c:xVal>
          <c:yVal>
            <c:numRef>
              <c:f>[0]!yieldC</c:f>
              <c:numCache>
                <c:formatCode>#,##0.0000</c:formatCode>
                <c:ptCount val="1"/>
                <c:pt idx="0">
                  <c:v>7.2694000000000001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39-4F25-8A28-5426D5E1A0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2927104"/>
        <c:axId val="432929024"/>
      </c:scatterChart>
      <c:valAx>
        <c:axId val="4329271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333399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M Duration</a:t>
                </a:r>
              </a:p>
            </c:rich>
          </c:tx>
          <c:layout>
            <c:manualLayout>
              <c:xMode val="edge"/>
              <c:yMode val="edge"/>
              <c:x val="0.4534199640139322"/>
              <c:y val="0.90645826378934558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32929024"/>
        <c:crosses val="autoZero"/>
        <c:crossBetween val="midCat"/>
      </c:valAx>
      <c:valAx>
        <c:axId val="43292902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333399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Yield %</a:t>
                </a:r>
              </a:p>
            </c:rich>
          </c:tx>
          <c:layout>
            <c:manualLayout>
              <c:xMode val="edge"/>
              <c:yMode val="edge"/>
              <c:x val="1.071816966275442E-2"/>
              <c:y val="0.38843940018719603"/>
            </c:manualLayout>
          </c:layout>
          <c:overlay val="0"/>
        </c:title>
        <c:numFmt formatCode="#,##0.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3292710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333399"/>
                </a:solidFill>
                <a:latin typeface="Calibri"/>
                <a:ea typeface="Calibri"/>
                <a:cs typeface="Calibri"/>
              </a:defRPr>
            </a:pPr>
            <a:r>
              <a:rPr lang="en-US"/>
              <a:t>LFT</a:t>
            </a:r>
          </a:p>
        </c:rich>
      </c:tx>
      <c:layout>
        <c:manualLayout>
          <c:xMode val="edge"/>
          <c:yMode val="edge"/>
          <c:x val="0.46812481773111697"/>
          <c:y val="9.2592249498224481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298438760681366"/>
          <c:y val="0.16669908908445269"/>
          <c:w val="0.84256762721870326"/>
          <c:h val="0.69719993824301374"/>
        </c:manualLayout>
      </c:layout>
      <c:scatterChart>
        <c:scatterStyle val="lineMarker"/>
        <c:varyColors val="0"/>
        <c:ser>
          <c:idx val="0"/>
          <c:order val="0"/>
          <c:tx>
            <c:v>LFT</c:v>
          </c:tx>
          <c:spPr>
            <a:ln w="28575">
              <a:noFill/>
            </a:ln>
          </c:spPr>
          <c:trendline>
            <c:spPr>
              <a:ln w="19050">
                <a:solidFill>
                  <a:srgbClr val="4F81BD"/>
                </a:solidFill>
                <a:prstDash val="lgDash"/>
              </a:ln>
            </c:spPr>
            <c:trendlineType val="poly"/>
            <c:order val="2"/>
            <c:dispRSqr val="0"/>
            <c:dispEq val="0"/>
          </c:trendline>
          <c:xVal>
            <c:strRef>
              <c:f>[0]!durLFT</c:f>
              <c:strCache>
                <c:ptCount val="16"/>
                <c:pt idx="0">
                  <c:v>0.1984</c:v>
                </c:pt>
                <c:pt idx="1">
                  <c:v>0.6944</c:v>
                </c:pt>
                <c:pt idx="2">
                  <c:v>1.1984</c:v>
                </c:pt>
                <c:pt idx="3">
                  <c:v>1.6781</c:v>
                </c:pt>
                <c:pt idx="4">
                  <c:v>2.1896</c:v>
                </c:pt>
                <c:pt idx="5">
                  <c:v>2.6812</c:v>
                </c:pt>
                <c:pt idx="6">
                  <c:v>3.1882</c:v>
                </c:pt>
                <c:pt idx="7">
                  <c:v>3.6632</c:v>
                </c:pt>
                <c:pt idx="8">
                  <c:v>4.1740</c:v>
                </c:pt>
                <c:pt idx="9">
                  <c:v>4.6570</c:v>
                </c:pt>
                <c:pt idx="10">
                  <c:v>4.9027</c:v>
                </c:pt>
                <c:pt idx="11">
                  <c:v>5.1566</c:v>
                </c:pt>
                <c:pt idx="12">
                  <c:v>5.4069</c:v>
                </c:pt>
                <c:pt idx="13">
                  <c:v>5.6489</c:v>
                </c:pt>
                <c:pt idx="14">
                  <c:v>5.8948</c:v>
                </c:pt>
                <c:pt idx="15">
                  <c:v>#N/A N/A</c:v>
                </c:pt>
              </c:strCache>
            </c:strRef>
          </c:xVal>
          <c:yVal>
            <c:numRef>
              <c:f>[0]!yieldLFT</c:f>
              <c:numCache>
                <c:formatCode>#,##0.0000</c:formatCode>
                <c:ptCount val="16"/>
                <c:pt idx="0">
                  <c:v>4.0000000000000001E-3</c:v>
                </c:pt>
                <c:pt idx="1">
                  <c:v>2E-3</c:v>
                </c:pt>
                <c:pt idx="2">
                  <c:v>1E-3</c:v>
                </c:pt>
                <c:pt idx="3">
                  <c:v>3.0800000000000001E-2</c:v>
                </c:pt>
                <c:pt idx="4">
                  <c:v>4.1700000000000001E-2</c:v>
                </c:pt>
                <c:pt idx="5">
                  <c:v>4.87E-2</c:v>
                </c:pt>
                <c:pt idx="6">
                  <c:v>7.1400000000000005E-2</c:v>
                </c:pt>
                <c:pt idx="7">
                  <c:v>9.5100000000000004E-2</c:v>
                </c:pt>
                <c:pt idx="8">
                  <c:v>0.1106</c:v>
                </c:pt>
                <c:pt idx="9">
                  <c:v>0.1227</c:v>
                </c:pt>
                <c:pt idx="10">
                  <c:v>0.1222</c:v>
                </c:pt>
                <c:pt idx="11">
                  <c:v>0.1176</c:v>
                </c:pt>
                <c:pt idx="12">
                  <c:v>0.1067</c:v>
                </c:pt>
                <c:pt idx="13">
                  <c:v>0.10349999999999999</c:v>
                </c:pt>
                <c:pt idx="14">
                  <c:v>0.1018</c:v>
                </c:pt>
                <c:pt idx="1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408-4A05-9516-1C98B50814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3804032"/>
        <c:axId val="433805952"/>
      </c:scatterChart>
      <c:valAx>
        <c:axId val="43380403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333399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M Duration</a:t>
                </a:r>
              </a:p>
            </c:rich>
          </c:tx>
          <c:layout>
            <c:manualLayout>
              <c:xMode val="edge"/>
              <c:yMode val="edge"/>
              <c:x val="0.45341990145968597"/>
              <c:y val="0.90645823683804227"/>
            </c:manualLayout>
          </c:layout>
          <c:overlay val="0"/>
        </c:title>
        <c:numFmt formatCode="0" sourceLinked="0"/>
        <c:majorTickMark val="out"/>
        <c:minorTickMark val="none"/>
        <c:tickLblPos val="high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33805952"/>
        <c:crosses val="autoZero"/>
        <c:crossBetween val="midCat"/>
      </c:valAx>
      <c:valAx>
        <c:axId val="43380595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333399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Yield %</a:t>
                </a:r>
              </a:p>
            </c:rich>
          </c:tx>
          <c:layout>
            <c:manualLayout>
              <c:xMode val="edge"/>
              <c:yMode val="edge"/>
              <c:x val="1.0718177771638195E-2"/>
              <c:y val="0.38843940095723328"/>
            </c:manualLayout>
          </c:layout>
          <c:overlay val="0"/>
        </c:title>
        <c:numFmt formatCode="#,##0.000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3380403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333399"/>
                </a:solidFill>
                <a:latin typeface="Calibri"/>
                <a:ea typeface="Calibri"/>
                <a:cs typeface="Calibri"/>
              </a:defRPr>
            </a:pPr>
            <a:r>
              <a:rPr lang="en-US"/>
              <a:t>LTN</a:t>
            </a:r>
          </a:p>
        </c:rich>
      </c:tx>
      <c:layout>
        <c:manualLayout>
          <c:xMode val="edge"/>
          <c:yMode val="edge"/>
          <c:x val="0.46680228085093856"/>
          <c:y val="9.2593439012735538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0348515921040416"/>
          <c:y val="0.13924795858850977"/>
          <c:w val="0.86206682364061404"/>
          <c:h val="0.71196531831937893"/>
        </c:manualLayout>
      </c:layout>
      <c:scatterChart>
        <c:scatterStyle val="lineMarker"/>
        <c:varyColors val="0"/>
        <c:ser>
          <c:idx val="0"/>
          <c:order val="0"/>
          <c:tx>
            <c:v>LTN</c:v>
          </c:tx>
          <c:spPr>
            <a:ln w="28575">
              <a:noFill/>
            </a:ln>
          </c:spPr>
          <c:trendline>
            <c:spPr>
              <a:ln>
                <a:solidFill>
                  <a:schemeClr val="accent1"/>
                </a:solidFill>
                <a:prstDash val="dash"/>
              </a:ln>
            </c:spPr>
            <c:trendlineType val="poly"/>
            <c:order val="3"/>
            <c:dispRSqr val="0"/>
            <c:dispEq val="0"/>
          </c:trendline>
          <c:xVal>
            <c:numRef>
              <c:f>[0]!durLTN</c:f>
              <c:numCache>
                <c:formatCode>0.0000</c:formatCode>
                <c:ptCount val="15"/>
                <c:pt idx="0">
                  <c:v>2.0715948194982691E-2</c:v>
                </c:pt>
                <c:pt idx="1">
                  <c:v>0.24879768556431928</c:v>
                </c:pt>
                <c:pt idx="2">
                  <c:v>0.46990821965415192</c:v>
                </c:pt>
                <c:pt idx="3">
                  <c:v>0.6805638819366433</c:v>
                </c:pt>
                <c:pt idx="4">
                  <c:v>0.89204626922258257</c:v>
                </c:pt>
                <c:pt idx="5">
                  <c:v>1.1192675665615275</c:v>
                </c:pt>
                <c:pt idx="6">
                  <c:v>1.547775932205417</c:v>
                </c:pt>
                <c:pt idx="7">
                  <c:v>1.770386010973876</c:v>
                </c:pt>
                <c:pt idx="8">
                  <c:v>1.9677672401075346</c:v>
                </c:pt>
                <c:pt idx="9">
                  <c:v>2.222383285634141</c:v>
                </c:pt>
                <c:pt idx="10">
                  <c:v>2.6586888777373243</c:v>
                </c:pt>
                <c:pt idx="11">
                  <c:v>3.0907801976996403</c:v>
                </c:pt>
                <c:pt idx="12">
                  <c:v>3.4948933564672506</c:v>
                </c:pt>
                <c:pt idx="13">
                  <c:v>3.9593639277373254</c:v>
                </c:pt>
                <c:pt idx="14">
                  <c:v>5.7133491519752733</c:v>
                </c:pt>
              </c:numCache>
            </c:numRef>
          </c:xVal>
          <c:yVal>
            <c:numRef>
              <c:f>[0]!yieldLTN</c:f>
              <c:numCache>
                <c:formatCode>#,##0.0000</c:formatCode>
                <c:ptCount val="15"/>
                <c:pt idx="0">
                  <c:v>14.933299999999999</c:v>
                </c:pt>
                <c:pt idx="1">
                  <c:v>14.837999999999999</c:v>
                </c:pt>
                <c:pt idx="2">
                  <c:v>14.8485</c:v>
                </c:pt>
                <c:pt idx="3">
                  <c:v>14.8674</c:v>
                </c:pt>
                <c:pt idx="4">
                  <c:v>14.770899999999999</c:v>
                </c:pt>
                <c:pt idx="5">
                  <c:v>14.516500000000001</c:v>
                </c:pt>
                <c:pt idx="6">
                  <c:v>14.090999999999999</c:v>
                </c:pt>
                <c:pt idx="7">
                  <c:v>13.866300000000001</c:v>
                </c:pt>
                <c:pt idx="8">
                  <c:v>13.7378</c:v>
                </c:pt>
                <c:pt idx="9">
                  <c:v>13.5632</c:v>
                </c:pt>
                <c:pt idx="10">
                  <c:v>13.4346</c:v>
                </c:pt>
                <c:pt idx="11">
                  <c:v>13.4968</c:v>
                </c:pt>
                <c:pt idx="12">
                  <c:v>13.4308</c:v>
                </c:pt>
                <c:pt idx="13">
                  <c:v>13.554399999999999</c:v>
                </c:pt>
                <c:pt idx="14">
                  <c:v>13.699199999999999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F10-4B00-ACC0-DCA9091707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3313280"/>
        <c:axId val="433315200"/>
      </c:scatterChart>
      <c:valAx>
        <c:axId val="4333132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333399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M Duration</a:t>
                </a:r>
              </a:p>
            </c:rich>
          </c:tx>
          <c:layout>
            <c:manualLayout>
              <c:xMode val="edge"/>
              <c:yMode val="edge"/>
              <c:x val="0.46243568081339059"/>
              <c:y val="0.9170121676742915"/>
            </c:manualLayout>
          </c:layout>
          <c:overlay val="0"/>
        </c:title>
        <c:numFmt formatCode="0.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33315200"/>
        <c:crosses val="autoZero"/>
        <c:crossBetween val="midCat"/>
      </c:valAx>
      <c:valAx>
        <c:axId val="4333152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333399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Yield %</a:t>
                </a:r>
              </a:p>
            </c:rich>
          </c:tx>
          <c:layout>
            <c:manualLayout>
              <c:xMode val="edge"/>
              <c:yMode val="edge"/>
              <c:x val="1.0718232450957656E-2"/>
              <c:y val="0.38843953212972387"/>
            </c:manualLayout>
          </c:layout>
          <c:overlay val="0"/>
        </c:title>
        <c:numFmt formatCode="#,##0.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3331328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CheckBox" fmlaLink="$AI$6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chart" Target="../charts/chart5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7" Type="http://schemas.openxmlformats.org/officeDocument/2006/relationships/image" Target="../media/image8.pn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6" Type="http://schemas.openxmlformats.org/officeDocument/2006/relationships/image" Target="../media/image2.jpeg"/><Relationship Id="rId5" Type="http://schemas.openxmlformats.org/officeDocument/2006/relationships/image" Target="../media/image7.png"/><Relationship Id="rId4" Type="http://schemas.openxmlformats.org/officeDocument/2006/relationships/image" Target="../media/image6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5</xdr:row>
          <xdr:rowOff>0</xdr:rowOff>
        </xdr:from>
        <xdr:to>
          <xdr:col>6</xdr:col>
          <xdr:colOff>1200150</xdr:colOff>
          <xdr:row>6</xdr:row>
          <xdr:rowOff>133350</xdr:rowOff>
        </xdr:to>
        <xdr:sp macro="" textlink="">
          <xdr:nvSpPr>
            <xdr:cNvPr id="133126" name="cmdTRADE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100-000006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1</xdr:col>
      <xdr:colOff>0</xdr:colOff>
      <xdr:row>1</xdr:row>
      <xdr:rowOff>0</xdr:rowOff>
    </xdr:from>
    <xdr:to>
      <xdr:col>1</xdr:col>
      <xdr:colOff>1821180</xdr:colOff>
      <xdr:row>3</xdr:row>
      <xdr:rowOff>182880</xdr:rowOff>
    </xdr:to>
    <xdr:pic>
      <xdr:nvPicPr>
        <xdr:cNvPr id="2" name="Bloomberg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4300" y="57150"/>
          <a:ext cx="1821180" cy="563880"/>
        </a:xfrm>
        <a:prstGeom prst="rect">
          <a:avLst/>
        </a:prstGeom>
      </xdr:spPr>
    </xdr:pic>
    <xdr:clientData/>
  </xdr:twoCellAnchor>
  <xdr:twoCellAnchor editAs="absolute">
    <xdr:from>
      <xdr:col>1</xdr:col>
      <xdr:colOff>1798625</xdr:colOff>
      <xdr:row>1</xdr:row>
      <xdr:rowOff>0</xdr:rowOff>
    </xdr:from>
    <xdr:to>
      <xdr:col>8</xdr:col>
      <xdr:colOff>400355</xdr:colOff>
      <xdr:row>3</xdr:row>
      <xdr:rowOff>185928</xdr:rowOff>
    </xdr:to>
    <xdr:sp macro="" textlink="">
      <xdr:nvSpPr>
        <xdr:cNvPr id="13" name="BannerTitle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>
          <a:spLocks noChangeArrowheads="1"/>
        </xdr:cNvSpPr>
      </xdr:nvSpPr>
      <xdr:spPr bwMode="auto">
        <a:xfrm>
          <a:off x="1912925" y="57150"/>
          <a:ext cx="9098280" cy="566928"/>
        </a:xfrm>
        <a:prstGeom prst="rect">
          <a:avLst/>
        </a:prstGeom>
        <a:gradFill flip="none" rotWithShape="1">
          <a:gsLst>
            <a:gs pos="0">
              <a:schemeClr val="tx2"/>
            </a:gs>
            <a:gs pos="98000">
              <a:schemeClr val="bg1"/>
            </a:gs>
          </a:gsLst>
          <a:path path="circle">
            <a:fillToRect l="50000" t="50000" r="50000" b="50000"/>
          </a:path>
          <a:tileRect/>
        </a:gradFill>
        <a:ln w="9525">
          <a:noFill/>
          <a:miter lim="800000"/>
          <a:headEnd/>
          <a:tailEnd/>
        </a:ln>
      </xdr:spPr>
      <xdr:txBody>
        <a:bodyPr vertOverflow="clip" wrap="square" lIns="54864" tIns="50292" rIns="54864" bIns="50292" anchor="ctr" upright="1"/>
        <a:lstStyle/>
        <a:p>
          <a:pPr algn="ctr" rtl="0">
            <a:defRPr sz="1000"/>
          </a:pPr>
          <a:r>
            <a:rPr lang="en-US" sz="2800" b="1" i="0" u="none" strike="noStrike" baseline="0">
              <a:solidFill>
                <a:srgbClr val="F2F2F2"/>
              </a:solidFill>
              <a:latin typeface="Calibri"/>
            </a:rPr>
            <a:t>Brazilian Bond Calculator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19050</xdr:colOff>
      <xdr:row>28</xdr:row>
      <xdr:rowOff>152400</xdr:rowOff>
    </xdr:from>
    <xdr:to>
      <xdr:col>8</xdr:col>
      <xdr:colOff>485775</xdr:colOff>
      <xdr:row>45</xdr:row>
      <xdr:rowOff>76200</xdr:rowOff>
    </xdr:to>
    <xdr:graphicFrame macro="">
      <xdr:nvGraphicFramePr>
        <xdr:cNvPr id="134148" name="Chart 2">
          <a:extLst>
            <a:ext uri="{FF2B5EF4-FFF2-40B4-BE49-F238E27FC236}">
              <a16:creationId xmlns:a16="http://schemas.microsoft.com/office/drawing/2014/main" id="{00000000-0008-0000-0200-0000040C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</xdr:col>
      <xdr:colOff>0</xdr:colOff>
      <xdr:row>1</xdr:row>
      <xdr:rowOff>0</xdr:rowOff>
    </xdr:from>
    <xdr:to>
      <xdr:col>2</xdr:col>
      <xdr:colOff>840105</xdr:colOff>
      <xdr:row>3</xdr:row>
      <xdr:rowOff>182880</xdr:rowOff>
    </xdr:to>
    <xdr:pic>
      <xdr:nvPicPr>
        <xdr:cNvPr id="2" name="Bloomberg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4300" y="57150"/>
          <a:ext cx="1821180" cy="563880"/>
        </a:xfrm>
        <a:prstGeom prst="rect">
          <a:avLst/>
        </a:prstGeom>
      </xdr:spPr>
    </xdr:pic>
    <xdr:clientData/>
  </xdr:twoCellAnchor>
  <xdr:twoCellAnchor editAs="absolute">
    <xdr:from>
      <xdr:col>2</xdr:col>
      <xdr:colOff>817550</xdr:colOff>
      <xdr:row>1</xdr:row>
      <xdr:rowOff>0</xdr:rowOff>
    </xdr:from>
    <xdr:to>
      <xdr:col>12</xdr:col>
      <xdr:colOff>857555</xdr:colOff>
      <xdr:row>3</xdr:row>
      <xdr:rowOff>185928</xdr:rowOff>
    </xdr:to>
    <xdr:sp macro="" textlink="">
      <xdr:nvSpPr>
        <xdr:cNvPr id="6" name="BannerTitle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>
          <a:spLocks noChangeArrowheads="1"/>
        </xdr:cNvSpPr>
      </xdr:nvSpPr>
      <xdr:spPr bwMode="auto">
        <a:xfrm>
          <a:off x="1912925" y="57150"/>
          <a:ext cx="9098280" cy="566928"/>
        </a:xfrm>
        <a:prstGeom prst="rect">
          <a:avLst/>
        </a:prstGeom>
        <a:gradFill flip="none" rotWithShape="1">
          <a:gsLst>
            <a:gs pos="0">
              <a:schemeClr val="tx2"/>
            </a:gs>
            <a:gs pos="98000">
              <a:schemeClr val="bg1"/>
            </a:gs>
          </a:gsLst>
          <a:path path="circle">
            <a:fillToRect l="50000" t="50000" r="50000" b="50000"/>
          </a:path>
          <a:tileRect/>
        </a:gradFill>
        <a:ln w="9525">
          <a:noFill/>
          <a:miter lim="800000"/>
          <a:headEnd/>
          <a:tailEnd/>
        </a:ln>
      </xdr:spPr>
      <xdr:txBody>
        <a:bodyPr vertOverflow="clip" wrap="square" lIns="54864" tIns="50292" rIns="54864" bIns="50292" anchor="ctr" upright="1"/>
        <a:lstStyle/>
        <a:p>
          <a:pPr algn="ctr" rtl="0">
            <a:defRPr sz="1000"/>
          </a:pPr>
          <a:r>
            <a:rPr lang="en-US" sz="2800" b="1" i="0" u="none" strike="noStrike" baseline="0">
              <a:solidFill>
                <a:srgbClr val="F2F2F2"/>
              </a:solidFill>
              <a:latin typeface="Calibri"/>
            </a:rPr>
            <a:t>Brazilian Bond Calculator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66675</xdr:colOff>
      <xdr:row>22</xdr:row>
      <xdr:rowOff>19050</xdr:rowOff>
    </xdr:from>
    <xdr:to>
      <xdr:col>9</xdr:col>
      <xdr:colOff>323850</xdr:colOff>
      <xdr:row>40</xdr:row>
      <xdr:rowOff>180975</xdr:rowOff>
    </xdr:to>
    <xdr:graphicFrame macro="">
      <xdr:nvGraphicFramePr>
        <xdr:cNvPr id="135172" name="Chart 1">
          <a:extLst>
            <a:ext uri="{FF2B5EF4-FFF2-40B4-BE49-F238E27FC236}">
              <a16:creationId xmlns:a16="http://schemas.microsoft.com/office/drawing/2014/main" id="{00000000-0008-0000-0300-00000410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</xdr:col>
      <xdr:colOff>0</xdr:colOff>
      <xdr:row>1</xdr:row>
      <xdr:rowOff>0</xdr:rowOff>
    </xdr:from>
    <xdr:to>
      <xdr:col>2</xdr:col>
      <xdr:colOff>840105</xdr:colOff>
      <xdr:row>3</xdr:row>
      <xdr:rowOff>182880</xdr:rowOff>
    </xdr:to>
    <xdr:pic>
      <xdr:nvPicPr>
        <xdr:cNvPr id="2" name="Bloomberg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4300" y="57150"/>
          <a:ext cx="1821180" cy="563880"/>
        </a:xfrm>
        <a:prstGeom prst="rect">
          <a:avLst/>
        </a:prstGeom>
      </xdr:spPr>
    </xdr:pic>
    <xdr:clientData/>
  </xdr:twoCellAnchor>
  <xdr:twoCellAnchor editAs="absolute">
    <xdr:from>
      <xdr:col>2</xdr:col>
      <xdr:colOff>817550</xdr:colOff>
      <xdr:row>1</xdr:row>
      <xdr:rowOff>0</xdr:rowOff>
    </xdr:from>
    <xdr:to>
      <xdr:col>14</xdr:col>
      <xdr:colOff>324155</xdr:colOff>
      <xdr:row>3</xdr:row>
      <xdr:rowOff>185928</xdr:rowOff>
    </xdr:to>
    <xdr:sp macro="" textlink="">
      <xdr:nvSpPr>
        <xdr:cNvPr id="6" name="BannerTitle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>
          <a:spLocks noChangeArrowheads="1"/>
        </xdr:cNvSpPr>
      </xdr:nvSpPr>
      <xdr:spPr bwMode="auto">
        <a:xfrm>
          <a:off x="1912925" y="57150"/>
          <a:ext cx="9098280" cy="566928"/>
        </a:xfrm>
        <a:prstGeom prst="rect">
          <a:avLst/>
        </a:prstGeom>
        <a:gradFill flip="none" rotWithShape="1">
          <a:gsLst>
            <a:gs pos="0">
              <a:schemeClr val="tx2"/>
            </a:gs>
            <a:gs pos="98000">
              <a:schemeClr val="bg1"/>
            </a:gs>
          </a:gsLst>
          <a:path path="circle">
            <a:fillToRect l="50000" t="50000" r="50000" b="50000"/>
          </a:path>
          <a:tileRect/>
        </a:gradFill>
        <a:ln w="9525">
          <a:noFill/>
          <a:miter lim="800000"/>
          <a:headEnd/>
          <a:tailEnd/>
        </a:ln>
      </xdr:spPr>
      <xdr:txBody>
        <a:bodyPr vertOverflow="clip" wrap="square" lIns="54864" tIns="50292" rIns="54864" bIns="50292" anchor="ctr" upright="1"/>
        <a:lstStyle/>
        <a:p>
          <a:pPr algn="ctr" rtl="0">
            <a:defRPr sz="1000"/>
          </a:pPr>
          <a:r>
            <a:rPr lang="en-US" sz="2800" b="1" i="0" u="none" strike="noStrike" baseline="0">
              <a:solidFill>
                <a:srgbClr val="F2F2F2"/>
              </a:solidFill>
              <a:latin typeface="Calibri"/>
            </a:rPr>
            <a:t>Brazilian Bond Calculator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247650</xdr:colOff>
      <xdr:row>14</xdr:row>
      <xdr:rowOff>171450</xdr:rowOff>
    </xdr:from>
    <xdr:to>
      <xdr:col>9</xdr:col>
      <xdr:colOff>361950</xdr:colOff>
      <xdr:row>34</xdr:row>
      <xdr:rowOff>180975</xdr:rowOff>
    </xdr:to>
    <xdr:graphicFrame macro="">
      <xdr:nvGraphicFramePr>
        <xdr:cNvPr id="136196" name="Chart 1">
          <a:extLst>
            <a:ext uri="{FF2B5EF4-FFF2-40B4-BE49-F238E27FC236}">
              <a16:creationId xmlns:a16="http://schemas.microsoft.com/office/drawing/2014/main" id="{00000000-0008-0000-0400-00000414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</xdr:col>
      <xdr:colOff>0</xdr:colOff>
      <xdr:row>1</xdr:row>
      <xdr:rowOff>0</xdr:rowOff>
    </xdr:from>
    <xdr:to>
      <xdr:col>2</xdr:col>
      <xdr:colOff>840105</xdr:colOff>
      <xdr:row>3</xdr:row>
      <xdr:rowOff>182880</xdr:rowOff>
    </xdr:to>
    <xdr:pic>
      <xdr:nvPicPr>
        <xdr:cNvPr id="2" name="Bloomberg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4300" y="57150"/>
          <a:ext cx="1821180" cy="563880"/>
        </a:xfrm>
        <a:prstGeom prst="rect">
          <a:avLst/>
        </a:prstGeom>
      </xdr:spPr>
    </xdr:pic>
    <xdr:clientData/>
  </xdr:twoCellAnchor>
  <xdr:twoCellAnchor editAs="absolute">
    <xdr:from>
      <xdr:col>2</xdr:col>
      <xdr:colOff>817550</xdr:colOff>
      <xdr:row>1</xdr:row>
      <xdr:rowOff>0</xdr:rowOff>
    </xdr:from>
    <xdr:to>
      <xdr:col>12</xdr:col>
      <xdr:colOff>895655</xdr:colOff>
      <xdr:row>3</xdr:row>
      <xdr:rowOff>185928</xdr:rowOff>
    </xdr:to>
    <xdr:sp macro="" textlink="">
      <xdr:nvSpPr>
        <xdr:cNvPr id="6" name="BannerTitle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>
          <a:spLocks noChangeArrowheads="1"/>
        </xdr:cNvSpPr>
      </xdr:nvSpPr>
      <xdr:spPr bwMode="auto">
        <a:xfrm>
          <a:off x="1912925" y="57150"/>
          <a:ext cx="9098280" cy="566928"/>
        </a:xfrm>
        <a:prstGeom prst="rect">
          <a:avLst/>
        </a:prstGeom>
        <a:gradFill flip="none" rotWithShape="1">
          <a:gsLst>
            <a:gs pos="0">
              <a:schemeClr val="tx2"/>
            </a:gs>
            <a:gs pos="98000">
              <a:schemeClr val="bg1"/>
            </a:gs>
          </a:gsLst>
          <a:path path="circle">
            <a:fillToRect l="50000" t="50000" r="50000" b="50000"/>
          </a:path>
          <a:tileRect/>
        </a:gradFill>
        <a:ln w="9525">
          <a:noFill/>
          <a:miter lim="800000"/>
          <a:headEnd/>
          <a:tailEnd/>
        </a:ln>
      </xdr:spPr>
      <xdr:txBody>
        <a:bodyPr vertOverflow="clip" wrap="square" lIns="54864" tIns="50292" rIns="54864" bIns="50292" anchor="ctr" upright="1"/>
        <a:lstStyle/>
        <a:p>
          <a:pPr algn="ctr" rtl="0">
            <a:defRPr sz="1000"/>
          </a:pPr>
          <a:r>
            <a:rPr lang="en-US" sz="2800" b="1" i="0" u="none" strike="noStrike" baseline="0">
              <a:solidFill>
                <a:srgbClr val="F2F2F2"/>
              </a:solidFill>
              <a:latin typeface="Calibri"/>
            </a:rPr>
            <a:t>Brazilian Bond Calculator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285750</xdr:colOff>
      <xdr:row>28</xdr:row>
      <xdr:rowOff>123825</xdr:rowOff>
    </xdr:from>
    <xdr:to>
      <xdr:col>7</xdr:col>
      <xdr:colOff>981075</xdr:colOff>
      <xdr:row>45</xdr:row>
      <xdr:rowOff>123825</xdr:rowOff>
    </xdr:to>
    <xdr:graphicFrame macro="">
      <xdr:nvGraphicFramePr>
        <xdr:cNvPr id="137220" name="Chart 1">
          <a:extLst>
            <a:ext uri="{FF2B5EF4-FFF2-40B4-BE49-F238E27FC236}">
              <a16:creationId xmlns:a16="http://schemas.microsoft.com/office/drawing/2014/main" id="{00000000-0008-0000-0500-0000041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</xdr:col>
      <xdr:colOff>0</xdr:colOff>
      <xdr:row>1</xdr:row>
      <xdr:rowOff>0</xdr:rowOff>
    </xdr:from>
    <xdr:to>
      <xdr:col>2</xdr:col>
      <xdr:colOff>840105</xdr:colOff>
      <xdr:row>3</xdr:row>
      <xdr:rowOff>182880</xdr:rowOff>
    </xdr:to>
    <xdr:pic>
      <xdr:nvPicPr>
        <xdr:cNvPr id="2" name="Bloomberg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4300" y="57150"/>
          <a:ext cx="1821180" cy="563880"/>
        </a:xfrm>
        <a:prstGeom prst="rect">
          <a:avLst/>
        </a:prstGeom>
      </xdr:spPr>
    </xdr:pic>
    <xdr:clientData/>
  </xdr:twoCellAnchor>
  <xdr:twoCellAnchor editAs="absolute">
    <xdr:from>
      <xdr:col>2</xdr:col>
      <xdr:colOff>817550</xdr:colOff>
      <xdr:row>1</xdr:row>
      <xdr:rowOff>0</xdr:rowOff>
    </xdr:from>
    <xdr:to>
      <xdr:col>15</xdr:col>
      <xdr:colOff>305105</xdr:colOff>
      <xdr:row>3</xdr:row>
      <xdr:rowOff>185928</xdr:rowOff>
    </xdr:to>
    <xdr:sp macro="" textlink="">
      <xdr:nvSpPr>
        <xdr:cNvPr id="6" name="BannerTitle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>
          <a:spLocks noChangeArrowheads="1"/>
        </xdr:cNvSpPr>
      </xdr:nvSpPr>
      <xdr:spPr bwMode="auto">
        <a:xfrm>
          <a:off x="1912925" y="57150"/>
          <a:ext cx="9098280" cy="566928"/>
        </a:xfrm>
        <a:prstGeom prst="rect">
          <a:avLst/>
        </a:prstGeom>
        <a:gradFill flip="none" rotWithShape="1">
          <a:gsLst>
            <a:gs pos="0">
              <a:schemeClr val="tx2"/>
            </a:gs>
            <a:gs pos="98000">
              <a:schemeClr val="bg1"/>
            </a:gs>
          </a:gsLst>
          <a:path path="circle">
            <a:fillToRect l="50000" t="50000" r="50000" b="50000"/>
          </a:path>
          <a:tileRect/>
        </a:gradFill>
        <a:ln w="9525">
          <a:noFill/>
          <a:miter lim="800000"/>
          <a:headEnd/>
          <a:tailEnd/>
        </a:ln>
      </xdr:spPr>
      <xdr:txBody>
        <a:bodyPr vertOverflow="clip" wrap="square" lIns="54864" tIns="50292" rIns="54864" bIns="50292" anchor="ctr" upright="1"/>
        <a:lstStyle/>
        <a:p>
          <a:pPr algn="ctr" rtl="0">
            <a:defRPr sz="1000"/>
          </a:pPr>
          <a:r>
            <a:rPr lang="en-US" sz="2800" b="1" i="0" u="none" strike="noStrike" baseline="0">
              <a:solidFill>
                <a:srgbClr val="F2F2F2"/>
              </a:solidFill>
              <a:latin typeface="Calibri"/>
            </a:rPr>
            <a:t>Brazilian Bond Calculator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257175</xdr:colOff>
      <xdr:row>25</xdr:row>
      <xdr:rowOff>152400</xdr:rowOff>
    </xdr:from>
    <xdr:to>
      <xdr:col>8</xdr:col>
      <xdr:colOff>238125</xdr:colOff>
      <xdr:row>44</xdr:row>
      <xdr:rowOff>142875</xdr:rowOff>
    </xdr:to>
    <xdr:graphicFrame macro="">
      <xdr:nvGraphicFramePr>
        <xdr:cNvPr id="138244" name="Chart 1">
          <a:extLst>
            <a:ext uri="{FF2B5EF4-FFF2-40B4-BE49-F238E27FC236}">
              <a16:creationId xmlns:a16="http://schemas.microsoft.com/office/drawing/2014/main" id="{00000000-0008-0000-0600-0000041C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</xdr:col>
      <xdr:colOff>0</xdr:colOff>
      <xdr:row>1</xdr:row>
      <xdr:rowOff>0</xdr:rowOff>
    </xdr:from>
    <xdr:to>
      <xdr:col>2</xdr:col>
      <xdr:colOff>840105</xdr:colOff>
      <xdr:row>3</xdr:row>
      <xdr:rowOff>182880</xdr:rowOff>
    </xdr:to>
    <xdr:pic>
      <xdr:nvPicPr>
        <xdr:cNvPr id="2" name="Bloomberg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4300" y="57150"/>
          <a:ext cx="1821180" cy="563880"/>
        </a:xfrm>
        <a:prstGeom prst="rect">
          <a:avLst/>
        </a:prstGeom>
      </xdr:spPr>
    </xdr:pic>
    <xdr:clientData/>
  </xdr:twoCellAnchor>
  <xdr:twoCellAnchor editAs="absolute">
    <xdr:from>
      <xdr:col>2</xdr:col>
      <xdr:colOff>817550</xdr:colOff>
      <xdr:row>1</xdr:row>
      <xdr:rowOff>0</xdr:rowOff>
    </xdr:from>
    <xdr:to>
      <xdr:col>15</xdr:col>
      <xdr:colOff>390830</xdr:colOff>
      <xdr:row>3</xdr:row>
      <xdr:rowOff>185928</xdr:rowOff>
    </xdr:to>
    <xdr:sp macro="" textlink="">
      <xdr:nvSpPr>
        <xdr:cNvPr id="6" name="BannerTitle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>
          <a:spLocks noChangeArrowheads="1"/>
        </xdr:cNvSpPr>
      </xdr:nvSpPr>
      <xdr:spPr bwMode="auto">
        <a:xfrm>
          <a:off x="1912925" y="57150"/>
          <a:ext cx="9098280" cy="566928"/>
        </a:xfrm>
        <a:prstGeom prst="rect">
          <a:avLst/>
        </a:prstGeom>
        <a:gradFill flip="none" rotWithShape="1">
          <a:gsLst>
            <a:gs pos="0">
              <a:schemeClr val="tx2"/>
            </a:gs>
            <a:gs pos="98000">
              <a:schemeClr val="bg1"/>
            </a:gs>
          </a:gsLst>
          <a:path path="circle">
            <a:fillToRect l="50000" t="50000" r="50000" b="50000"/>
          </a:path>
          <a:tileRect/>
        </a:gradFill>
        <a:ln w="9525">
          <a:noFill/>
          <a:miter lim="800000"/>
          <a:headEnd/>
          <a:tailEnd/>
        </a:ln>
      </xdr:spPr>
      <xdr:txBody>
        <a:bodyPr vertOverflow="clip" wrap="square" lIns="54864" tIns="50292" rIns="54864" bIns="50292" anchor="ctr" upright="1"/>
        <a:lstStyle/>
        <a:p>
          <a:pPr algn="ctr" rtl="0">
            <a:defRPr sz="1000"/>
          </a:pPr>
          <a:r>
            <a:rPr lang="en-US" sz="2800" b="1" i="0" u="none" strike="noStrike" baseline="0">
              <a:solidFill>
                <a:srgbClr val="F2F2F2"/>
              </a:solidFill>
              <a:latin typeface="Calibri"/>
            </a:rPr>
            <a:t>Brazilian Bond Calculator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38100</xdr:colOff>
          <xdr:row>5</xdr:row>
          <xdr:rowOff>0</xdr:rowOff>
        </xdr:from>
        <xdr:to>
          <xdr:col>35</xdr:col>
          <xdr:colOff>1200150</xdr:colOff>
          <xdr:row>6</xdr:row>
          <xdr:rowOff>28575</xdr:rowOff>
        </xdr:to>
        <xdr:sp macro="" textlink="">
          <xdr:nvSpPr>
            <xdr:cNvPr id="335706" name="Check Box 858" hidden="1">
              <a:extLst>
                <a:ext uri="{63B3BB69-23CF-44E3-9099-C40C66FF867C}">
                  <a14:compatExt spid="_x0000_s335706"/>
                </a:ext>
                <a:ext uri="{FF2B5EF4-FFF2-40B4-BE49-F238E27FC236}">
                  <a16:creationId xmlns:a16="http://schemas.microsoft.com/office/drawing/2014/main" id="{00000000-0008-0000-0700-00005A1F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Override issue date</a:t>
              </a:r>
            </a:p>
          </xdr:txBody>
        </xdr:sp>
        <xdr:clientData/>
      </xdr:twoCellAnchor>
    </mc:Choice>
    <mc:Fallback/>
  </mc:AlternateContent>
  <xdr:twoCellAnchor editAs="absolute">
    <xdr:from>
      <xdr:col>1</xdr:col>
      <xdr:colOff>9525</xdr:colOff>
      <xdr:row>1</xdr:row>
      <xdr:rowOff>0</xdr:rowOff>
    </xdr:from>
    <xdr:to>
      <xdr:col>2</xdr:col>
      <xdr:colOff>525780</xdr:colOff>
      <xdr:row>3</xdr:row>
      <xdr:rowOff>182880</xdr:rowOff>
    </xdr:to>
    <xdr:pic>
      <xdr:nvPicPr>
        <xdr:cNvPr id="2" name="Bloomberg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4300" y="57150"/>
          <a:ext cx="1821180" cy="563880"/>
        </a:xfrm>
        <a:prstGeom prst="rect">
          <a:avLst/>
        </a:prstGeom>
      </xdr:spPr>
    </xdr:pic>
    <xdr:clientData/>
  </xdr:twoCellAnchor>
  <xdr:twoCellAnchor editAs="absolute">
    <xdr:from>
      <xdr:col>2</xdr:col>
      <xdr:colOff>503225</xdr:colOff>
      <xdr:row>1</xdr:row>
      <xdr:rowOff>0</xdr:rowOff>
    </xdr:from>
    <xdr:to>
      <xdr:col>10</xdr:col>
      <xdr:colOff>1019480</xdr:colOff>
      <xdr:row>3</xdr:row>
      <xdr:rowOff>185928</xdr:rowOff>
    </xdr:to>
    <xdr:sp macro="" textlink="">
      <xdr:nvSpPr>
        <xdr:cNvPr id="6" name="BannerTitle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SpPr>
          <a:spLocks noChangeArrowheads="1"/>
        </xdr:cNvSpPr>
      </xdr:nvSpPr>
      <xdr:spPr bwMode="auto">
        <a:xfrm>
          <a:off x="1912925" y="57150"/>
          <a:ext cx="9098280" cy="566928"/>
        </a:xfrm>
        <a:prstGeom prst="rect">
          <a:avLst/>
        </a:prstGeom>
        <a:gradFill flip="none" rotWithShape="1">
          <a:gsLst>
            <a:gs pos="0">
              <a:schemeClr val="tx2"/>
            </a:gs>
            <a:gs pos="98000">
              <a:schemeClr val="bg1"/>
            </a:gs>
          </a:gsLst>
          <a:path path="circle">
            <a:fillToRect l="50000" t="50000" r="50000" b="50000"/>
          </a:path>
          <a:tileRect/>
        </a:gradFill>
        <a:ln w="9525">
          <a:noFill/>
          <a:miter lim="800000"/>
          <a:headEnd/>
          <a:tailEnd/>
        </a:ln>
      </xdr:spPr>
      <xdr:txBody>
        <a:bodyPr vertOverflow="clip" wrap="square" lIns="54864" tIns="50292" rIns="54864" bIns="50292" anchor="ctr" upright="1"/>
        <a:lstStyle/>
        <a:p>
          <a:pPr algn="ctr" rtl="0">
            <a:defRPr sz="1000"/>
          </a:pPr>
          <a:r>
            <a:rPr lang="en-US" sz="2800" b="1" i="0" u="none" strike="noStrike" baseline="0">
              <a:solidFill>
                <a:srgbClr val="F2F2F2"/>
              </a:solidFill>
              <a:latin typeface="Calibri"/>
            </a:rPr>
            <a:t>Brazilian Bond Calculator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9525</xdr:colOff>
      <xdr:row>1</xdr:row>
      <xdr:rowOff>0</xdr:rowOff>
    </xdr:from>
    <xdr:to>
      <xdr:col>2</xdr:col>
      <xdr:colOff>640080</xdr:colOff>
      <xdr:row>3</xdr:row>
      <xdr:rowOff>182880</xdr:rowOff>
    </xdr:to>
    <xdr:pic>
      <xdr:nvPicPr>
        <xdr:cNvPr id="2" name="Bloomberg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4300" y="57150"/>
          <a:ext cx="1821180" cy="563880"/>
        </a:xfrm>
        <a:prstGeom prst="rect">
          <a:avLst/>
        </a:prstGeom>
      </xdr:spPr>
    </xdr:pic>
    <xdr:clientData/>
  </xdr:twoCellAnchor>
  <xdr:twoCellAnchor editAs="absolute">
    <xdr:from>
      <xdr:col>2</xdr:col>
      <xdr:colOff>617525</xdr:colOff>
      <xdr:row>1</xdr:row>
      <xdr:rowOff>0</xdr:rowOff>
    </xdr:from>
    <xdr:to>
      <xdr:col>7</xdr:col>
      <xdr:colOff>1105205</xdr:colOff>
      <xdr:row>3</xdr:row>
      <xdr:rowOff>185928</xdr:rowOff>
    </xdr:to>
    <xdr:sp macro="" textlink="">
      <xdr:nvSpPr>
        <xdr:cNvPr id="5" name="BannerTitle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SpPr>
          <a:spLocks noChangeArrowheads="1"/>
        </xdr:cNvSpPr>
      </xdr:nvSpPr>
      <xdr:spPr bwMode="auto">
        <a:xfrm>
          <a:off x="1912925" y="57150"/>
          <a:ext cx="9098280" cy="566928"/>
        </a:xfrm>
        <a:prstGeom prst="rect">
          <a:avLst/>
        </a:prstGeom>
        <a:gradFill flip="none" rotWithShape="1">
          <a:gsLst>
            <a:gs pos="0">
              <a:schemeClr val="tx2"/>
            </a:gs>
            <a:gs pos="98000">
              <a:schemeClr val="bg1"/>
            </a:gs>
          </a:gsLst>
          <a:path path="circle">
            <a:fillToRect l="50000" t="50000" r="50000" b="50000"/>
          </a:path>
          <a:tileRect/>
        </a:gradFill>
        <a:ln w="9525">
          <a:noFill/>
          <a:miter lim="800000"/>
          <a:headEnd/>
          <a:tailEnd/>
        </a:ln>
      </xdr:spPr>
      <xdr:txBody>
        <a:bodyPr vertOverflow="clip" wrap="square" lIns="54864" tIns="50292" rIns="54864" bIns="50292" anchor="ctr" upright="1"/>
        <a:lstStyle/>
        <a:p>
          <a:pPr algn="ctr" rtl="0">
            <a:defRPr sz="1000"/>
          </a:pPr>
          <a:r>
            <a:rPr lang="en-US" sz="2800" b="1" i="0" u="none" strike="noStrike" baseline="0">
              <a:solidFill>
                <a:srgbClr val="F2F2F2"/>
              </a:solidFill>
              <a:latin typeface="Calibri"/>
            </a:rPr>
            <a:t>Brazilian Bond Calculator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28575</xdr:colOff>
      <xdr:row>73</xdr:row>
      <xdr:rowOff>133350</xdr:rowOff>
    </xdr:from>
    <xdr:to>
      <xdr:col>17</xdr:col>
      <xdr:colOff>180975</xdr:colOff>
      <xdr:row>105</xdr:row>
      <xdr:rowOff>165434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t="-8709" b="19769"/>
        <a:stretch/>
      </xdr:blipFill>
      <xdr:spPr>
        <a:xfrm>
          <a:off x="1362075" y="13773150"/>
          <a:ext cx="8686800" cy="6128084"/>
        </a:xfrm>
        <a:prstGeom prst="rect">
          <a:avLst/>
        </a:prstGeom>
      </xdr:spPr>
    </xdr:pic>
    <xdr:clientData/>
  </xdr:twoCellAnchor>
  <xdr:twoCellAnchor editAs="oneCell">
    <xdr:from>
      <xdr:col>3</xdr:col>
      <xdr:colOff>334160</xdr:colOff>
      <xdr:row>23</xdr:row>
      <xdr:rowOff>47625</xdr:rowOff>
    </xdr:from>
    <xdr:to>
      <xdr:col>17</xdr:col>
      <xdr:colOff>314325</xdr:colOff>
      <xdr:row>48</xdr:row>
      <xdr:rowOff>57150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r="13205" b="8122"/>
        <a:stretch/>
      </xdr:blipFill>
      <xdr:spPr>
        <a:xfrm>
          <a:off x="1667660" y="4162425"/>
          <a:ext cx="8514565" cy="4772025"/>
        </a:xfrm>
        <a:prstGeom prst="rect">
          <a:avLst/>
        </a:prstGeom>
      </xdr:spPr>
    </xdr:pic>
    <xdr:clientData/>
  </xdr:twoCellAnchor>
  <xdr:twoCellAnchor editAs="oneCell">
    <xdr:from>
      <xdr:col>14</xdr:col>
      <xdr:colOff>171450</xdr:colOff>
      <xdr:row>16</xdr:row>
      <xdr:rowOff>38100</xdr:rowOff>
    </xdr:from>
    <xdr:to>
      <xdr:col>18</xdr:col>
      <xdr:colOff>428625</xdr:colOff>
      <xdr:row>28</xdr:row>
      <xdr:rowOff>0</xdr:rowOff>
    </xdr:to>
    <xdr:pic>
      <xdr:nvPicPr>
        <xdr:cNvPr id="5" name="Picture 16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10550" y="2819400"/>
          <a:ext cx="2695575" cy="2247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10</xdr:col>
      <xdr:colOff>514350</xdr:colOff>
      <xdr:row>19</xdr:row>
      <xdr:rowOff>0</xdr:rowOff>
    </xdr:from>
    <xdr:to>
      <xdr:col>13</xdr:col>
      <xdr:colOff>228600</xdr:colOff>
      <xdr:row>22</xdr:row>
      <xdr:rowOff>133350</xdr:rowOff>
    </xdr:to>
    <xdr:sp macro="" textlink="">
      <xdr:nvSpPr>
        <xdr:cNvPr id="6" name="DbgShadowBox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SpPr/>
      </xdr:nvSpPr>
      <xdr:spPr bwMode="auto">
        <a:xfrm>
          <a:off x="6115050" y="3352800"/>
          <a:ext cx="1543050" cy="704850"/>
        </a:xfrm>
        <a:prstGeom prst="rect">
          <a:avLst/>
        </a:prstGeom>
        <a:solidFill>
          <a:schemeClr val="bg1"/>
        </a:solidFill>
        <a:ln w="12700"/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l" rtl="0">
            <a:defRPr sz="1000"/>
          </a:pPr>
          <a:r>
            <a:rPr lang="en-US" sz="1050" b="0" i="0" u="none" strike="noStrike" baseline="0">
              <a:solidFill>
                <a:srgbClr val="1F497D"/>
              </a:solidFill>
              <a:latin typeface="+mn-lt"/>
            </a:rPr>
            <a:t>Click on the button to insert a trade ticket via VCON&lt;go&gt;</a:t>
          </a:r>
        </a:p>
      </xdr:txBody>
    </xdr:sp>
    <xdr:clientData/>
  </xdr:twoCellAnchor>
  <xdr:twoCellAnchor>
    <xdr:from>
      <xdr:col>13</xdr:col>
      <xdr:colOff>228600</xdr:colOff>
      <xdr:row>20</xdr:row>
      <xdr:rowOff>161925</xdr:rowOff>
    </xdr:from>
    <xdr:to>
      <xdr:col>14</xdr:col>
      <xdr:colOff>171450</xdr:colOff>
      <xdr:row>22</xdr:row>
      <xdr:rowOff>19050</xdr:rowOff>
    </xdr:to>
    <xdr:cxnSp macro="">
      <xdr:nvCxnSpPr>
        <xdr:cNvPr id="7" name="DbgGradArrow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CxnSpPr>
          <a:stCxn id="6" idx="3"/>
          <a:endCxn id="5" idx="1"/>
        </xdr:cNvCxnSpPr>
      </xdr:nvCxnSpPr>
      <xdr:spPr bwMode="auto">
        <a:xfrm>
          <a:off x="7658100" y="3705225"/>
          <a:ext cx="552450" cy="238125"/>
        </a:xfrm>
        <a:prstGeom prst="straightConnector1">
          <a:avLst/>
        </a:prstGeom>
        <a:ln w="12700">
          <a:gradFill>
            <a:gsLst>
              <a:gs pos="0">
                <a:schemeClr val="tx2"/>
              </a:gs>
              <a:gs pos="50000">
                <a:srgbClr val="FF0000"/>
              </a:gs>
            </a:gsLst>
            <a:lin ang="5400000" scaled="0"/>
          </a:gradFill>
          <a:tailEnd type="arrow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66675</xdr:colOff>
      <xdr:row>22</xdr:row>
      <xdr:rowOff>133350</xdr:rowOff>
    </xdr:from>
    <xdr:to>
      <xdr:col>12</xdr:col>
      <xdr:colOff>495300</xdr:colOff>
      <xdr:row>25</xdr:row>
      <xdr:rowOff>142875</xdr:rowOff>
    </xdr:to>
    <xdr:cxnSp macro="">
      <xdr:nvCxnSpPr>
        <xdr:cNvPr id="8" name="DbgGradArrow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CxnSpPr>
          <a:stCxn id="6" idx="2"/>
        </xdr:cNvCxnSpPr>
      </xdr:nvCxnSpPr>
      <xdr:spPr bwMode="auto">
        <a:xfrm>
          <a:off x="6886575" y="4057650"/>
          <a:ext cx="428625" cy="581025"/>
        </a:xfrm>
        <a:prstGeom prst="straightConnector1">
          <a:avLst/>
        </a:prstGeom>
        <a:ln w="12700">
          <a:gradFill>
            <a:gsLst>
              <a:gs pos="0">
                <a:schemeClr val="tx2"/>
              </a:gs>
              <a:gs pos="50000">
                <a:srgbClr val="FF0000"/>
              </a:gs>
            </a:gsLst>
            <a:lin ang="5400000" scaled="0"/>
          </a:gradFill>
          <a:tailEnd type="arrow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123825</xdr:colOff>
      <xdr:row>19</xdr:row>
      <xdr:rowOff>76200</xdr:rowOff>
    </xdr:from>
    <xdr:to>
      <xdr:col>7</xdr:col>
      <xdr:colOff>180975</xdr:colOff>
      <xdr:row>22</xdr:row>
      <xdr:rowOff>10346</xdr:rowOff>
    </xdr:to>
    <xdr:sp macro="" textlink="">
      <xdr:nvSpPr>
        <xdr:cNvPr id="14" name="DbgShadowBox">
          <a:extLst>
            <a:ext uri="{FF2B5EF4-FFF2-40B4-BE49-F238E27FC236}">
              <a16:creationId xmlns:a16="http://schemas.microsoft.com/office/drawing/2014/main" id="{00000000-0008-0000-0900-00000E000000}"/>
            </a:ext>
          </a:extLst>
        </xdr:cNvPr>
        <xdr:cNvSpPr/>
      </xdr:nvSpPr>
      <xdr:spPr bwMode="auto">
        <a:xfrm>
          <a:off x="2676525" y="3429000"/>
          <a:ext cx="1276350" cy="505646"/>
        </a:xfrm>
        <a:prstGeom prst="rect">
          <a:avLst/>
        </a:prstGeom>
        <a:solidFill>
          <a:schemeClr val="bg1"/>
        </a:solidFill>
        <a:ln w="12700"/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l" rtl="0">
            <a:defRPr sz="1000"/>
          </a:pPr>
          <a:r>
            <a:rPr lang="en-US" sz="1050" b="0" i="0" u="none" strike="noStrike" baseline="0">
              <a:solidFill>
                <a:srgbClr val="1F497D"/>
              </a:solidFill>
              <a:latin typeface="Calibri"/>
            </a:rPr>
            <a:t>Select a bond from the drop-down</a:t>
          </a:r>
        </a:p>
      </xdr:txBody>
    </xdr:sp>
    <xdr:clientData/>
  </xdr:twoCellAnchor>
  <xdr:twoCellAnchor>
    <xdr:from>
      <xdr:col>4</xdr:col>
      <xdr:colOff>523875</xdr:colOff>
      <xdr:row>22</xdr:row>
      <xdr:rowOff>10346</xdr:rowOff>
    </xdr:from>
    <xdr:to>
      <xdr:col>6</xdr:col>
      <xdr:colOff>152400</xdr:colOff>
      <xdr:row>25</xdr:row>
      <xdr:rowOff>133350</xdr:rowOff>
    </xdr:to>
    <xdr:cxnSp macro="">
      <xdr:nvCxnSpPr>
        <xdr:cNvPr id="15" name="DbgGradArrow">
          <a:extLst>
            <a:ext uri="{FF2B5EF4-FFF2-40B4-BE49-F238E27FC236}">
              <a16:creationId xmlns:a16="http://schemas.microsoft.com/office/drawing/2014/main" id="{00000000-0008-0000-0900-00000F000000}"/>
            </a:ext>
          </a:extLst>
        </xdr:cNvPr>
        <xdr:cNvCxnSpPr>
          <a:stCxn id="14" idx="2"/>
        </xdr:cNvCxnSpPr>
      </xdr:nvCxnSpPr>
      <xdr:spPr bwMode="auto">
        <a:xfrm flipH="1">
          <a:off x="2466975" y="3934646"/>
          <a:ext cx="847725" cy="694504"/>
        </a:xfrm>
        <a:prstGeom prst="straightConnector1">
          <a:avLst/>
        </a:prstGeom>
        <a:ln w="12700">
          <a:gradFill>
            <a:gsLst>
              <a:gs pos="0">
                <a:schemeClr val="tx2"/>
              </a:gs>
              <a:gs pos="50000">
                <a:srgbClr val="FF0000"/>
              </a:gs>
            </a:gsLst>
            <a:lin ang="5400000" scaled="0"/>
          </a:gradFill>
          <a:tailEnd type="arrow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561975</xdr:colOff>
      <xdr:row>56</xdr:row>
      <xdr:rowOff>104775</xdr:rowOff>
    </xdr:from>
    <xdr:to>
      <xdr:col>18</xdr:col>
      <xdr:colOff>76201</xdr:colOff>
      <xdr:row>62</xdr:row>
      <xdr:rowOff>66676</xdr:rowOff>
    </xdr:to>
    <xdr:sp macro="" textlink="">
      <xdr:nvSpPr>
        <xdr:cNvPr id="18" name="DbgShadowBox">
          <a:extLst>
            <a:ext uri="{FF2B5EF4-FFF2-40B4-BE49-F238E27FC236}">
              <a16:creationId xmlns:a16="http://schemas.microsoft.com/office/drawing/2014/main" id="{00000000-0008-0000-0900-000012000000}"/>
            </a:ext>
          </a:extLst>
        </xdr:cNvPr>
        <xdr:cNvSpPr/>
      </xdr:nvSpPr>
      <xdr:spPr bwMode="auto">
        <a:xfrm>
          <a:off x="8601075" y="10506075"/>
          <a:ext cx="1952626" cy="1104901"/>
        </a:xfrm>
        <a:prstGeom prst="rect">
          <a:avLst/>
        </a:prstGeom>
        <a:solidFill>
          <a:schemeClr val="bg1"/>
        </a:solidFill>
        <a:ln w="12700"/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l" rtl="0">
            <a:defRPr sz="1000"/>
          </a:pPr>
          <a:r>
            <a:rPr lang="en-US" sz="1050" b="0" i="0" u="none" strike="noStrike" baseline="0">
              <a:solidFill>
                <a:srgbClr val="1F497D"/>
              </a:solidFill>
              <a:latin typeface="+mn-lt"/>
            </a:rPr>
            <a:t>Enter the amount traded and the price/yield. </a:t>
          </a:r>
          <a:br>
            <a:rPr lang="en-US" sz="1050" b="0" i="0" u="none" strike="noStrike" baseline="0">
              <a:solidFill>
                <a:srgbClr val="1F497D"/>
              </a:solidFill>
              <a:latin typeface="+mn-lt"/>
            </a:rPr>
          </a:br>
          <a:r>
            <a:rPr lang="en-US" sz="1050" b="0" i="0" u="none" strike="noStrike" baseline="0">
              <a:solidFill>
                <a:srgbClr val="1F497D"/>
              </a:solidFill>
              <a:latin typeface="+mn-lt"/>
            </a:rPr>
            <a:t>Both information can be added and/or changed on the terminal afterwards.</a:t>
          </a:r>
        </a:p>
        <a:p>
          <a:pPr algn="l" rtl="0">
            <a:defRPr sz="1000"/>
          </a:pPr>
          <a:endParaRPr lang="en-US" sz="1050" b="0" i="0" u="none" strike="noStrike" baseline="0">
            <a:solidFill>
              <a:srgbClr val="1F497D"/>
            </a:solidFill>
            <a:latin typeface="+mn-lt"/>
          </a:endParaRPr>
        </a:p>
      </xdr:txBody>
    </xdr:sp>
    <xdr:clientData/>
  </xdr:twoCellAnchor>
  <xdr:twoCellAnchor>
    <xdr:from>
      <xdr:col>16</xdr:col>
      <xdr:colOff>300038</xdr:colOff>
      <xdr:row>28</xdr:row>
      <xdr:rowOff>0</xdr:rowOff>
    </xdr:from>
    <xdr:to>
      <xdr:col>16</xdr:col>
      <xdr:colOff>319088</xdr:colOff>
      <xdr:row>56</xdr:row>
      <xdr:rowOff>104775</xdr:rowOff>
    </xdr:to>
    <xdr:cxnSp macro="">
      <xdr:nvCxnSpPr>
        <xdr:cNvPr id="19" name="DbgGradArrow">
          <a:extLst>
            <a:ext uri="{FF2B5EF4-FFF2-40B4-BE49-F238E27FC236}">
              <a16:creationId xmlns:a16="http://schemas.microsoft.com/office/drawing/2014/main" id="{00000000-0008-0000-0900-000013000000}"/>
            </a:ext>
          </a:extLst>
        </xdr:cNvPr>
        <xdr:cNvCxnSpPr>
          <a:stCxn id="5" idx="2"/>
          <a:endCxn id="18" idx="0"/>
        </xdr:cNvCxnSpPr>
      </xdr:nvCxnSpPr>
      <xdr:spPr bwMode="auto">
        <a:xfrm>
          <a:off x="9558338" y="5067300"/>
          <a:ext cx="19050" cy="5438775"/>
        </a:xfrm>
        <a:prstGeom prst="straightConnector1">
          <a:avLst/>
        </a:prstGeom>
        <a:ln w="12700">
          <a:gradFill>
            <a:gsLst>
              <a:gs pos="0">
                <a:schemeClr val="tx2"/>
              </a:gs>
              <a:gs pos="50000">
                <a:srgbClr val="FF0000"/>
              </a:gs>
            </a:gsLst>
            <a:lin ang="5400000" scaled="0"/>
          </a:gradFill>
          <a:tailEnd type="arrow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3</xdr:col>
      <xdr:colOff>114300</xdr:colOff>
      <xdr:row>49</xdr:row>
      <xdr:rowOff>142875</xdr:rowOff>
    </xdr:from>
    <xdr:to>
      <xdr:col>12</xdr:col>
      <xdr:colOff>247650</xdr:colOff>
      <xdr:row>69</xdr:row>
      <xdr:rowOff>9525</xdr:rowOff>
    </xdr:to>
    <xdr:pic>
      <xdr:nvPicPr>
        <xdr:cNvPr id="22" name="Picture 25">
          <a:extLst>
            <a:ext uri="{FF2B5EF4-FFF2-40B4-BE49-F238E27FC236}">
              <a16:creationId xmlns:a16="http://schemas.microsoft.com/office/drawing/2014/main" id="{00000000-0008-0000-09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47800" y="9210675"/>
          <a:ext cx="5619750" cy="3676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12</xdr:col>
      <xdr:colOff>247650</xdr:colOff>
      <xdr:row>59</xdr:row>
      <xdr:rowOff>76200</xdr:rowOff>
    </xdr:from>
    <xdr:to>
      <xdr:col>14</xdr:col>
      <xdr:colOff>561975</xdr:colOff>
      <xdr:row>59</xdr:row>
      <xdr:rowOff>85726</xdr:rowOff>
    </xdr:to>
    <xdr:cxnSp macro="">
      <xdr:nvCxnSpPr>
        <xdr:cNvPr id="24" name="DbgGradArrow">
          <a:extLst>
            <a:ext uri="{FF2B5EF4-FFF2-40B4-BE49-F238E27FC236}">
              <a16:creationId xmlns:a16="http://schemas.microsoft.com/office/drawing/2014/main" id="{00000000-0008-0000-0900-000018000000}"/>
            </a:ext>
          </a:extLst>
        </xdr:cNvPr>
        <xdr:cNvCxnSpPr>
          <a:stCxn id="18" idx="1"/>
          <a:endCxn id="22" idx="3"/>
        </xdr:cNvCxnSpPr>
      </xdr:nvCxnSpPr>
      <xdr:spPr bwMode="auto">
        <a:xfrm flipH="1" flipV="1">
          <a:off x="7067550" y="11049000"/>
          <a:ext cx="1533525" cy="9526"/>
        </a:xfrm>
        <a:prstGeom prst="straightConnector1">
          <a:avLst/>
        </a:prstGeom>
        <a:ln w="12700">
          <a:gradFill>
            <a:gsLst>
              <a:gs pos="0">
                <a:schemeClr val="tx2"/>
              </a:gs>
              <a:gs pos="50000">
                <a:srgbClr val="FF0000"/>
              </a:gs>
            </a:gsLst>
            <a:lin ang="5400000" scaled="0"/>
          </a:gradFill>
          <a:tailEnd type="arrow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5</xdr:col>
      <xdr:colOff>542925</xdr:colOff>
      <xdr:row>69</xdr:row>
      <xdr:rowOff>180975</xdr:rowOff>
    </xdr:from>
    <xdr:to>
      <xdr:col>9</xdr:col>
      <xdr:colOff>266700</xdr:colOff>
      <xdr:row>70</xdr:row>
      <xdr:rowOff>152400</xdr:rowOff>
    </xdr:to>
    <xdr:pic>
      <xdr:nvPicPr>
        <xdr:cNvPr id="28" name="Picture 26">
          <a:extLst>
            <a:ext uri="{FF2B5EF4-FFF2-40B4-BE49-F238E27FC236}">
              <a16:creationId xmlns:a16="http://schemas.microsoft.com/office/drawing/2014/main" id="{00000000-0008-0000-09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95625" y="13058775"/>
          <a:ext cx="2162175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5</xdr:col>
      <xdr:colOff>552450</xdr:colOff>
      <xdr:row>74</xdr:row>
      <xdr:rowOff>57150</xdr:rowOff>
    </xdr:from>
    <xdr:to>
      <xdr:col>7</xdr:col>
      <xdr:colOff>323851</xdr:colOff>
      <xdr:row>77</xdr:row>
      <xdr:rowOff>28575</xdr:rowOff>
    </xdr:to>
    <xdr:sp macro="" textlink="">
      <xdr:nvSpPr>
        <xdr:cNvPr id="30" name="DbgShadowBox">
          <a:extLst>
            <a:ext uri="{FF2B5EF4-FFF2-40B4-BE49-F238E27FC236}">
              <a16:creationId xmlns:a16="http://schemas.microsoft.com/office/drawing/2014/main" id="{00000000-0008-0000-0900-00001E000000}"/>
            </a:ext>
          </a:extLst>
        </xdr:cNvPr>
        <xdr:cNvSpPr/>
      </xdr:nvSpPr>
      <xdr:spPr bwMode="auto">
        <a:xfrm>
          <a:off x="3105150" y="13887450"/>
          <a:ext cx="990601" cy="542925"/>
        </a:xfrm>
        <a:prstGeom prst="rect">
          <a:avLst/>
        </a:prstGeom>
        <a:solidFill>
          <a:schemeClr val="bg1"/>
        </a:solidFill>
        <a:ln w="12700"/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l" rtl="0">
            <a:defRPr sz="1000"/>
          </a:pPr>
          <a:r>
            <a:rPr lang="en-US" sz="1050" b="0" i="0" u="none" strike="noStrike" baseline="0">
              <a:solidFill>
                <a:srgbClr val="1F497D"/>
              </a:solidFill>
              <a:latin typeface="+mn-lt"/>
            </a:rPr>
            <a:t>select quotetype</a:t>
          </a:r>
        </a:p>
      </xdr:txBody>
    </xdr:sp>
    <xdr:clientData/>
  </xdr:twoCellAnchor>
  <xdr:twoCellAnchor>
    <xdr:from>
      <xdr:col>6</xdr:col>
      <xdr:colOff>38100</xdr:colOff>
      <xdr:row>77</xdr:row>
      <xdr:rowOff>28575</xdr:rowOff>
    </xdr:from>
    <xdr:to>
      <xdr:col>6</xdr:col>
      <xdr:colOff>438151</xdr:colOff>
      <xdr:row>81</xdr:row>
      <xdr:rowOff>76200</xdr:rowOff>
    </xdr:to>
    <xdr:cxnSp macro="">
      <xdr:nvCxnSpPr>
        <xdr:cNvPr id="31" name="DbgGradArrow">
          <a:extLst>
            <a:ext uri="{FF2B5EF4-FFF2-40B4-BE49-F238E27FC236}">
              <a16:creationId xmlns:a16="http://schemas.microsoft.com/office/drawing/2014/main" id="{00000000-0008-0000-0900-00001F000000}"/>
            </a:ext>
          </a:extLst>
        </xdr:cNvPr>
        <xdr:cNvCxnSpPr>
          <a:stCxn id="30" idx="2"/>
        </xdr:cNvCxnSpPr>
      </xdr:nvCxnSpPr>
      <xdr:spPr bwMode="auto">
        <a:xfrm flipH="1">
          <a:off x="3200400" y="14430375"/>
          <a:ext cx="400051" cy="809625"/>
        </a:xfrm>
        <a:prstGeom prst="straightConnector1">
          <a:avLst/>
        </a:prstGeom>
        <a:ln w="12700">
          <a:gradFill>
            <a:gsLst>
              <a:gs pos="0">
                <a:schemeClr val="tx2"/>
              </a:gs>
              <a:gs pos="50000">
                <a:srgbClr val="FF0000"/>
              </a:gs>
            </a:gsLst>
            <a:lin ang="5400000" scaled="0"/>
          </a:gradFill>
          <a:tailEnd type="arrow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</xdr:col>
      <xdr:colOff>0</xdr:colOff>
      <xdr:row>1</xdr:row>
      <xdr:rowOff>0</xdr:rowOff>
    </xdr:from>
    <xdr:to>
      <xdr:col>3</xdr:col>
      <xdr:colOff>601980</xdr:colOff>
      <xdr:row>3</xdr:row>
      <xdr:rowOff>182880</xdr:rowOff>
    </xdr:to>
    <xdr:pic>
      <xdr:nvPicPr>
        <xdr:cNvPr id="2" name="Bloomberg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4300" y="57150"/>
          <a:ext cx="1821180" cy="563880"/>
        </a:xfrm>
        <a:prstGeom prst="rect">
          <a:avLst/>
        </a:prstGeom>
      </xdr:spPr>
    </xdr:pic>
    <xdr:clientData/>
  </xdr:twoCellAnchor>
  <xdr:twoCellAnchor editAs="absolute">
    <xdr:from>
      <xdr:col>3</xdr:col>
      <xdr:colOff>579425</xdr:colOff>
      <xdr:row>1</xdr:row>
      <xdr:rowOff>0</xdr:rowOff>
    </xdr:from>
    <xdr:to>
      <xdr:col>18</xdr:col>
      <xdr:colOff>533705</xdr:colOff>
      <xdr:row>3</xdr:row>
      <xdr:rowOff>185928</xdr:rowOff>
    </xdr:to>
    <xdr:sp macro="" textlink="">
      <xdr:nvSpPr>
        <xdr:cNvPr id="21" name="BannerTitle">
          <a:extLst>
            <a:ext uri="{FF2B5EF4-FFF2-40B4-BE49-F238E27FC236}">
              <a16:creationId xmlns:a16="http://schemas.microsoft.com/office/drawing/2014/main" id="{00000000-0008-0000-0900-000015000000}"/>
            </a:ext>
          </a:extLst>
        </xdr:cNvPr>
        <xdr:cNvSpPr>
          <a:spLocks noChangeArrowheads="1"/>
        </xdr:cNvSpPr>
      </xdr:nvSpPr>
      <xdr:spPr bwMode="auto">
        <a:xfrm>
          <a:off x="1912925" y="57150"/>
          <a:ext cx="9098280" cy="566928"/>
        </a:xfrm>
        <a:prstGeom prst="rect">
          <a:avLst/>
        </a:prstGeom>
        <a:gradFill flip="none" rotWithShape="1">
          <a:gsLst>
            <a:gs pos="0">
              <a:schemeClr val="tx2"/>
            </a:gs>
            <a:gs pos="98000">
              <a:schemeClr val="bg1"/>
            </a:gs>
          </a:gsLst>
          <a:path path="circle">
            <a:fillToRect l="50000" t="50000" r="50000" b="50000"/>
          </a:path>
          <a:tileRect/>
        </a:gradFill>
        <a:ln w="9525">
          <a:noFill/>
          <a:miter lim="800000"/>
          <a:headEnd/>
          <a:tailEnd/>
        </a:ln>
      </xdr:spPr>
      <xdr:txBody>
        <a:bodyPr vertOverflow="clip" wrap="square" lIns="54864" tIns="50292" rIns="54864" bIns="50292" anchor="ctr" upright="1"/>
        <a:lstStyle/>
        <a:p>
          <a:pPr algn="ctr" rtl="0">
            <a:defRPr sz="1000"/>
          </a:pPr>
          <a:r>
            <a:rPr lang="en-US" sz="2800" b="1" i="0" u="none" strike="noStrike" baseline="0">
              <a:solidFill>
                <a:srgbClr val="F2F2F2"/>
              </a:solidFill>
              <a:latin typeface="Calibri"/>
            </a:rPr>
            <a:t>Brazilian Bond Calculator</a:t>
          </a:r>
        </a:p>
      </xdr:txBody>
    </xdr:sp>
    <xdr:clientData/>
  </xdr:twoCellAnchor>
  <xdr:twoCellAnchor editAs="oneCell">
    <xdr:from>
      <xdr:col>2</xdr:col>
      <xdr:colOff>571501</xdr:colOff>
      <xdr:row>113</xdr:row>
      <xdr:rowOff>140043</xdr:rowOff>
    </xdr:from>
    <xdr:to>
      <xdr:col>17</xdr:col>
      <xdr:colOff>504825</xdr:colOff>
      <xdr:row>143</xdr:row>
      <xdr:rowOff>22108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900-00000B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"/>
        <a:srcRect r="18407"/>
        <a:stretch/>
      </xdr:blipFill>
      <xdr:spPr>
        <a:xfrm>
          <a:off x="1295401" y="21399843"/>
          <a:ext cx="9077324" cy="559706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/>
  <dimension ref="A41"/>
  <sheetViews>
    <sheetView topLeftCell="A13" workbookViewId="0">
      <selection activeCell="C52" sqref="C52"/>
    </sheetView>
  </sheetViews>
  <sheetFormatPr defaultRowHeight="15" x14ac:dyDescent="0.25"/>
  <sheetData>
    <row r="41" spans="1:1" hidden="1" x14ac:dyDescent="0.25">
      <c r="A41" s="308" t="e">
        <f>RTD("bloomberg.ccyreader", "", "#track", "DBG", "XBRA", "1.0", "OpenFile")</f>
        <v>#N/A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/>
  <dimension ref="B1:T1188"/>
  <sheetViews>
    <sheetView showGridLines="0" showRowColHeaders="0" tabSelected="1" zoomScaleNormal="100" workbookViewId="0">
      <pane ySplit="5" topLeftCell="A6" activePane="bottomLeft" state="frozen"/>
      <selection pane="bottomLeft" activeCell="H18" sqref="H18"/>
    </sheetView>
  </sheetViews>
  <sheetFormatPr defaultRowHeight="15" x14ac:dyDescent="0.25"/>
  <cols>
    <col min="1" max="1" width="1.7109375" customWidth="1"/>
    <col min="2" max="2" width="30.28515625" customWidth="1"/>
    <col min="3" max="3" width="29" style="18" customWidth="1"/>
    <col min="4" max="4" width="22" customWidth="1"/>
    <col min="5" max="5" width="16.7109375" customWidth="1"/>
    <col min="6" max="6" width="21.85546875" customWidth="1"/>
    <col min="7" max="7" width="19" customWidth="1"/>
    <col min="8" max="8" width="18.5703125" customWidth="1"/>
    <col min="9" max="9" width="21.28515625" customWidth="1"/>
    <col min="10" max="10" width="15.7109375" customWidth="1"/>
    <col min="11" max="11" width="23" customWidth="1"/>
    <col min="12" max="12" width="16.7109375" customWidth="1"/>
    <col min="13" max="13" width="13.85546875" customWidth="1"/>
    <col min="14" max="14" width="19" customWidth="1"/>
    <col min="15" max="15" width="11.28515625" customWidth="1"/>
    <col min="16" max="16" width="13.5703125" hidden="1" customWidth="1"/>
    <col min="17" max="18" width="20.5703125" hidden="1" customWidth="1"/>
    <col min="19" max="19" width="12.5703125" hidden="1" customWidth="1"/>
    <col min="20" max="20" width="9.140625" hidden="1" customWidth="1"/>
    <col min="21" max="21" width="9.140625" customWidth="1"/>
    <col min="22" max="22" width="24.28515625" customWidth="1"/>
  </cols>
  <sheetData>
    <row r="1" spans="2:19" ht="5.0999999999999996" customHeight="1" x14ac:dyDescent="0.25"/>
    <row r="2" spans="2:19" ht="15" customHeight="1" x14ac:dyDescent="0.25"/>
    <row r="3" spans="2:19" ht="15" customHeight="1" x14ac:dyDescent="0.25"/>
    <row r="4" spans="2:19" ht="15" customHeight="1" x14ac:dyDescent="0.25"/>
    <row r="5" spans="2:19" ht="5.0999999999999996" customHeight="1" x14ac:dyDescent="0.25"/>
    <row r="6" spans="2:19" ht="15" customHeight="1" x14ac:dyDescent="0.25">
      <c r="B6" s="49" t="s">
        <v>383</v>
      </c>
      <c r="D6" s="130" t="str" cm="1">
        <f t="array" ref="D6">_xll.BDP(P8,"security name")</f>
        <v>BNTNB 6 05/15/55</v>
      </c>
      <c r="H6" s="19"/>
      <c r="P6" t="s">
        <v>149</v>
      </c>
    </row>
    <row r="7" spans="2:19" ht="16.5" customHeight="1" x14ac:dyDescent="0.25"/>
    <row r="8" spans="2:19" x14ac:dyDescent="0.25">
      <c r="B8" s="316" t="s">
        <v>375</v>
      </c>
      <c r="C8" s="317"/>
      <c r="D8" s="317"/>
      <c r="E8" s="317"/>
      <c r="F8" s="317"/>
      <c r="G8" s="317"/>
      <c r="H8" s="317"/>
      <c r="I8" s="318"/>
      <c r="P8" s="20" t="str">
        <f>B6</f>
        <v>BNTNB 6.000 05/15/55 Corp</v>
      </c>
      <c r="Q8" s="21"/>
      <c r="R8" s="21"/>
    </row>
    <row r="9" spans="2:19" ht="5.0999999999999996" customHeight="1" x14ac:dyDescent="0.25"/>
    <row r="10" spans="2:19" x14ac:dyDescent="0.25">
      <c r="B10" s="46" t="s">
        <v>57</v>
      </c>
      <c r="C10" s="131" t="str" cm="1">
        <f t="array" ref="C10">_xll.BDP(P8, "Name","Fill=--")</f>
        <v>NOTA DO TESOURO NACIONAL</v>
      </c>
      <c r="E10" s="46" t="s">
        <v>61</v>
      </c>
      <c r="F10" s="131" t="str" cm="1">
        <f t="array" ref="F10">_xll.BDP(P8, "crncy","Fill=--")</f>
        <v>BRL</v>
      </c>
      <c r="H10" s="46" t="s">
        <v>65</v>
      </c>
      <c r="I10" s="131" t="str" cm="1">
        <f t="array" ref="I10">_xll.BDP(P8, "maturity","Fill=--")</f>
        <v>5/15/2055</v>
      </c>
      <c r="P10">
        <f>COUNTA(Q12:Q265)+4</f>
        <v>156</v>
      </c>
    </row>
    <row r="11" spans="2:19" x14ac:dyDescent="0.25">
      <c r="B11" s="47" t="s">
        <v>58</v>
      </c>
      <c r="C11" s="132" t="str" cm="1">
        <f t="array" ref="C11">_xll.BDP(P8, "id_isin","Fill=--")</f>
        <v>BRSTNCNTB4Q4</v>
      </c>
      <c r="E11" s="47" t="s">
        <v>62</v>
      </c>
      <c r="F11" s="132" t="str" cm="1">
        <f t="array" ref="F11">_xll.BDP(P8, "country","Fill=--")</f>
        <v>BZ</v>
      </c>
      <c r="H11" s="47" t="s">
        <v>66</v>
      </c>
      <c r="I11" s="132" t="str" cm="1">
        <f t="array" ref="I11">_xll.BDP(P8, "mty_typ","Fill=--")</f>
        <v>AT MATURITY</v>
      </c>
    </row>
    <row r="12" spans="2:19" x14ac:dyDescent="0.25">
      <c r="B12" s="47" t="s">
        <v>59</v>
      </c>
      <c r="C12" s="132" t="str" cm="1">
        <f t="array" ref="C12">_xll.BDP(P8, "industry_sector","Fill=--")</f>
        <v>Government</v>
      </c>
      <c r="E12" s="47" t="s">
        <v>63</v>
      </c>
      <c r="F12" s="132" t="str" cm="1">
        <f t="array" ref="F12">_xll.BDP(P8, "CNTRY_OF_RISK","Fill=--")</f>
        <v>BR</v>
      </c>
      <c r="H12" s="47" t="s">
        <v>67</v>
      </c>
      <c r="I12" s="132" t="str" cm="1">
        <f t="array" ref="I12">_xll.BDP(P8, "cpn_typ","Fill=--")</f>
        <v>FIXED</v>
      </c>
      <c r="P12" t="str" cm="1">
        <f t="array" ref="P12">_xll.BDS("bntnb  corp","bond chain")</f>
        <v>#N/A Invalid Security</v>
      </c>
      <c r="R12" t="str">
        <f t="array" ref="R12:R311">NoBlanks(Q12:Q304)</f>
        <v>BNTNF 10.000 01/01/18</v>
      </c>
      <c r="S12" s="22" t="str">
        <f>IF(OR(R12=0,R12=""),"",R12&amp;" Corp")</f>
        <v>BNTNF 10.000 01/01/18 Corp</v>
      </c>
    </row>
    <row r="13" spans="2:19" x14ac:dyDescent="0.25">
      <c r="B13" s="48" t="s">
        <v>60</v>
      </c>
      <c r="C13" s="133" t="str" cm="1">
        <f t="array" ref="C13">_xll.BDP(P8, "industry_group","Fill=--")</f>
        <v>Sovereign</v>
      </c>
      <c r="E13" s="48" t="s">
        <v>64</v>
      </c>
      <c r="F13" s="133" t="str" cm="1">
        <f t="array" ref="F13">_xll.BDP(P8, "collat_typ","Fill=--")</f>
        <v>NOTES</v>
      </c>
      <c r="H13" s="47" t="s">
        <v>68</v>
      </c>
      <c r="I13" s="132" cm="1">
        <f t="array" ref="I13">_xll.BDP(P8, "coupon","Fill=--")</f>
        <v>6</v>
      </c>
      <c r="R13" t="str">
        <v>BNTNF 10.000 01/01/19</v>
      </c>
      <c r="S13" s="22" t="str">
        <f t="shared" ref="S13:S76" si="0">IF(OR(R13=0,R13=""),"",R13&amp;" Corp")</f>
        <v>BNTNF 10.000 01/01/19 Corp</v>
      </c>
    </row>
    <row r="14" spans="2:19" s="5" customFormat="1" x14ac:dyDescent="0.25">
      <c r="H14" s="47" t="s">
        <v>69</v>
      </c>
      <c r="I14" s="132" t="str">
        <f>INDEX({"Annual","Semesterly","Quarterly","Monthly"},1,MATCH(_xll.BDP(P8,"cpn freq","Fill=--"),{1,2,4,12},0))</f>
        <v>Semesterly</v>
      </c>
      <c r="J14"/>
      <c r="R14" s="5" t="str">
        <v>BNTNF 10.000 01/01/21</v>
      </c>
      <c r="S14" s="22" t="str">
        <f t="shared" si="0"/>
        <v>BNTNF 10.000 01/01/21 Corp</v>
      </c>
    </row>
    <row r="15" spans="2:19" x14ac:dyDescent="0.25">
      <c r="B15" s="46" t="s">
        <v>72</v>
      </c>
      <c r="C15" s="134" t="str">
        <f>ROUND(_xll.BDP(P8,"amt_issued","Fill=--")/(10^6),2)&amp;" MM"</f>
        <v>109955.56 MM</v>
      </c>
      <c r="E15" s="46" t="s">
        <v>78</v>
      </c>
      <c r="F15" s="131" cm="1">
        <f t="array" ref="F15">_xll.BDP(P8, "px_mid","Fill=--")</f>
        <v>4016.6826879999999</v>
      </c>
      <c r="H15" s="48" t="s">
        <v>70</v>
      </c>
      <c r="I15" s="133" t="str" cm="1">
        <f t="array" ref="I15">_xll.BDP(P8, "day_cnt_des","Fill=--")</f>
        <v>BUS DAYS/252</v>
      </c>
      <c r="R15" t="str">
        <v>BNTNF 10.000 01/01/23</v>
      </c>
      <c r="S15" s="22" t="str">
        <f t="shared" si="0"/>
        <v>BNTNF 10.000 01/01/23 Corp</v>
      </c>
    </row>
    <row r="16" spans="2:19" x14ac:dyDescent="0.25">
      <c r="B16" s="47" t="s">
        <v>73</v>
      </c>
      <c r="C16" s="135" t="str">
        <f>ROUND(_xll.BDP(P8,"amt_outstanding","Fill=--")/(10^6),2)&amp;" MM"</f>
        <v>109955.56 MM</v>
      </c>
      <c r="E16" s="47" t="s">
        <v>79</v>
      </c>
      <c r="F16" s="132" cm="1">
        <f t="array" ref="F16">_xll.BDP(P8, "yld_cnv_mid","Fill=--")</f>
        <v>6.9980000000000002</v>
      </c>
      <c r="H16" s="23" t="str">
        <f>IF(ISERR(FIND("CALL",UPPER(I11))), IF(ISERR(FIND("PUT",UPPER(I11))), IF(ISERR(FIND("SINK", UPPER(I11))), "Cpn", "Sink"), "Put"), "Call") &amp; " Frequency"</f>
        <v>Cpn Frequency</v>
      </c>
      <c r="I16" s="24" t="str" cm="1">
        <f t="array" ref="I16">_xll.BDP($B$6, "Sink_freq")</f>
        <v>#N/A Field Not Applicable</v>
      </c>
      <c r="R16" t="str">
        <v>BNTNF 10.000 01/01/25</v>
      </c>
      <c r="S16" s="22" t="str">
        <f t="shared" si="0"/>
        <v>BNTNF 10.000 01/01/25 Corp</v>
      </c>
    </row>
    <row r="17" spans="2:19" x14ac:dyDescent="0.25">
      <c r="B17" s="48" t="s">
        <v>74</v>
      </c>
      <c r="C17" s="136" cm="1">
        <f t="array" ref="C17">_xll.BDP(P8, "par_amt","Fill=--")</f>
        <v>1000</v>
      </c>
      <c r="E17" s="47" t="s">
        <v>80</v>
      </c>
      <c r="F17" s="132" cm="1">
        <f t="array" ref="F17">_xll.BDP(P8, "int_acc","Fill=--")</f>
        <v>26.525195618879831</v>
      </c>
      <c r="R17" t="str">
        <v>BNTNF 10.000 01/01/27</v>
      </c>
      <c r="S17" s="22" t="str">
        <f t="shared" si="0"/>
        <v>BNTNF 10.000 01/01/27 Corp</v>
      </c>
    </row>
    <row r="18" spans="2:19" x14ac:dyDescent="0.25">
      <c r="B18" s="25"/>
      <c r="C18" s="26"/>
      <c r="E18" s="48" t="s">
        <v>81</v>
      </c>
      <c r="F18" s="133" t="str" cm="1">
        <f t="array" ref="F18">_xll.BDP(P8,"days_acc","Fill=--")&amp;" Days"</f>
        <v>26 Days</v>
      </c>
      <c r="R18" t="str">
        <v>VIVO34</v>
      </c>
      <c r="S18" s="22" t="str">
        <f t="shared" si="0"/>
        <v>VIVO34 Corp</v>
      </c>
    </row>
    <row r="19" spans="2:19" s="5" customFormat="1" x14ac:dyDescent="0.25">
      <c r="B19" s="46" t="s">
        <v>75</v>
      </c>
      <c r="C19" s="131" cm="1">
        <f t="array" ref="C19">IF(LEFT(_xlfn.SINGLE(_xll.BDP(ticker,"Issue_Px","Fill=--")),1)="#","--",_xll.BDP(ticker,"Issue_Px","Fill=--"))</f>
        <v>100.7431</v>
      </c>
      <c r="R19" s="5" t="str">
        <v>AVIA21</v>
      </c>
      <c r="S19" s="22" t="str">
        <f t="shared" si="0"/>
        <v>AVIA21 Corp</v>
      </c>
    </row>
    <row r="20" spans="2:19" x14ac:dyDescent="0.25">
      <c r="B20" s="47" t="s">
        <v>76</v>
      </c>
      <c r="C20" s="132" t="str" cm="1">
        <f t="array" ref="C20">_xll.BDP(P8, "issue_dt","Fill=--")</f>
        <v>1/14/2015</v>
      </c>
      <c r="D20" s="5"/>
      <c r="R20" t="str">
        <v>CBAN11</v>
      </c>
      <c r="S20" s="22" t="str">
        <f t="shared" si="0"/>
        <v>CBAN11 Corp</v>
      </c>
    </row>
    <row r="21" spans="2:19" x14ac:dyDescent="0.25">
      <c r="B21" s="48" t="s">
        <v>77</v>
      </c>
      <c r="C21" s="133" t="str" cm="1">
        <f t="array" ref="C21">_xll.BDP(P8, "market_issue","Fill=--")</f>
        <v>DOMESTIC</v>
      </c>
      <c r="D21" s="5"/>
      <c r="R21" t="str">
        <v>CBAN21</v>
      </c>
      <c r="S21" s="22" t="str">
        <f t="shared" si="0"/>
        <v>CBAN21 Corp</v>
      </c>
    </row>
    <row r="22" spans="2:19" x14ac:dyDescent="0.25">
      <c r="R22" t="str">
        <v>ITAP13</v>
      </c>
      <c r="S22" s="22" t="str">
        <f t="shared" si="0"/>
        <v>ITAP13 Corp</v>
      </c>
    </row>
    <row r="23" spans="2:19" x14ac:dyDescent="0.25">
      <c r="R23" t="str">
        <v>CEAR23</v>
      </c>
      <c r="S23" s="22" t="str">
        <f t="shared" si="0"/>
        <v>CEAR23 Corp</v>
      </c>
    </row>
    <row r="24" spans="2:19" x14ac:dyDescent="0.25">
      <c r="B24" s="319" t="s">
        <v>376</v>
      </c>
      <c r="C24" s="319"/>
      <c r="D24" s="319"/>
      <c r="E24" s="319"/>
      <c r="F24" s="319"/>
      <c r="G24" s="319"/>
      <c r="H24" s="319"/>
      <c r="I24" s="319"/>
      <c r="J24" s="319"/>
      <c r="K24" s="319"/>
      <c r="L24" s="319"/>
      <c r="R24" t="str">
        <v>FLRY11</v>
      </c>
      <c r="S24" s="22" t="str">
        <f t="shared" si="0"/>
        <v>FLRY11 Corp</v>
      </c>
    </row>
    <row r="25" spans="2:19" ht="5.0999999999999996" customHeight="1" x14ac:dyDescent="0.25">
      <c r="R25" t="str">
        <v>FLRY21</v>
      </c>
      <c r="S25" s="22" t="str">
        <f t="shared" si="0"/>
        <v>FLRY21 Corp</v>
      </c>
    </row>
    <row r="26" spans="2:19" x14ac:dyDescent="0.25">
      <c r="B26" s="27" t="s">
        <v>86</v>
      </c>
      <c r="C26" s="28" t="s">
        <v>87</v>
      </c>
      <c r="D26" s="28" t="s">
        <v>88</v>
      </c>
      <c r="E26" s="28" t="s">
        <v>89</v>
      </c>
      <c r="F26" s="28" t="s">
        <v>90</v>
      </c>
      <c r="G26" s="28" t="s">
        <v>91</v>
      </c>
      <c r="H26" s="28" t="s">
        <v>92</v>
      </c>
      <c r="I26" s="28" t="s">
        <v>93</v>
      </c>
      <c r="J26" s="28" t="s">
        <v>62</v>
      </c>
      <c r="K26" s="28" t="s">
        <v>94</v>
      </c>
      <c r="L26" s="29"/>
      <c r="R26" t="str">
        <v>BRTO18</v>
      </c>
      <c r="S26" s="22" t="str">
        <f t="shared" si="0"/>
        <v>BRTO18 Corp</v>
      </c>
    </row>
    <row r="27" spans="2:19" x14ac:dyDescent="0.25">
      <c r="B27" s="64" t="str" cm="1">
        <f t="array" ref="B27:K46">_xll.BDS(P8,"TOP_20_HOLDERS_PUBLIC_FILINGS","TOP_HOLDERS_INST_TYPE_OVERRIDE","EXCLUDE","Fill=--")</f>
        <v>GRUPO BANCO DO BRASI</v>
      </c>
      <c r="C27" s="65" t="str">
        <v>Multiple Portfolios</v>
      </c>
      <c r="D27" s="65" t="str">
        <v>MF-AGG</v>
      </c>
      <c r="E27" s="66">
        <v>8428203</v>
      </c>
      <c r="F27" s="65">
        <v>7.67</v>
      </c>
      <c r="G27" s="67">
        <v>80303</v>
      </c>
      <c r="H27" s="68">
        <v>45808</v>
      </c>
      <c r="I27" s="65" t="str">
        <v>Bank</v>
      </c>
      <c r="J27" s="65" t="str">
        <v>Brazil</v>
      </c>
      <c r="K27" s="65" t="str">
        <v>Unclassified</v>
      </c>
      <c r="L27" s="69"/>
      <c r="R27" t="str">
        <v>GEPA13</v>
      </c>
      <c r="S27" s="22" t="str">
        <f t="shared" si="0"/>
        <v>GEPA13 Corp</v>
      </c>
    </row>
    <row r="28" spans="2:19" x14ac:dyDescent="0.25">
      <c r="B28" s="70" t="str">
        <v>Banco Bradesco SA</v>
      </c>
      <c r="C28" s="71" t="str">
        <v>Multiple Portfolios</v>
      </c>
      <c r="D28" s="71" t="str">
        <v>MF-AGG</v>
      </c>
      <c r="E28" s="72">
        <v>1474180</v>
      </c>
      <c r="F28" s="71">
        <v>1.34</v>
      </c>
      <c r="G28" s="73">
        <v>-678025</v>
      </c>
      <c r="H28" s="74">
        <v>45825</v>
      </c>
      <c r="I28" s="71" t="str">
        <v>Investment Advisor</v>
      </c>
      <c r="J28" s="71" t="str">
        <v>Brazil</v>
      </c>
      <c r="K28" s="71" t="str">
        <v>Sao Paulo</v>
      </c>
      <c r="L28" s="75"/>
      <c r="R28" t="str">
        <v>IGTA13</v>
      </c>
      <c r="S28" s="22" t="str">
        <f t="shared" si="0"/>
        <v>IGTA13 Corp</v>
      </c>
    </row>
    <row r="29" spans="2:19" x14ac:dyDescent="0.25">
      <c r="B29" s="70" t="str">
        <v>Caixa Economica Fede</v>
      </c>
      <c r="C29" s="71" t="str">
        <v>Multiple Portfolios</v>
      </c>
      <c r="D29" s="71" t="str">
        <v>MF-AGG</v>
      </c>
      <c r="E29" s="72">
        <v>1240926</v>
      </c>
      <c r="F29" s="71">
        <v>1.1299999999999999</v>
      </c>
      <c r="G29" s="73">
        <v>-94308</v>
      </c>
      <c r="H29" s="74">
        <v>45777</v>
      </c>
      <c r="I29" s="71" t="str">
        <v>Government</v>
      </c>
      <c r="J29" s="71" t="str">
        <v>Brazil</v>
      </c>
      <c r="K29" s="71" t="str">
        <v>Sao Paulo</v>
      </c>
      <c r="L29" s="75"/>
      <c r="P29" t="s">
        <v>39</v>
      </c>
      <c r="Q29" t="s">
        <v>40</v>
      </c>
      <c r="R29" t="str">
        <v>LAME26</v>
      </c>
      <c r="S29" s="22" t="str">
        <f t="shared" si="0"/>
        <v>LAME26 Corp</v>
      </c>
    </row>
    <row r="30" spans="2:19" x14ac:dyDescent="0.25">
      <c r="B30" s="70" t="str">
        <v>Banco Santander SA</v>
      </c>
      <c r="C30" s="71" t="str">
        <v>n/a</v>
      </c>
      <c r="D30" s="71" t="str">
        <v>ULT-AGG</v>
      </c>
      <c r="E30" s="72">
        <v>746499</v>
      </c>
      <c r="F30" s="71">
        <v>0.68</v>
      </c>
      <c r="G30" s="73">
        <v>7432</v>
      </c>
      <c r="H30" s="74">
        <v>45808</v>
      </c>
      <c r="I30" s="71" t="str">
        <v>Bank</v>
      </c>
      <c r="J30" s="71" t="str">
        <v>Spain</v>
      </c>
      <c r="K30" s="71" t="str">
        <v>Madrid</v>
      </c>
      <c r="L30" s="75"/>
      <c r="P30" t="s">
        <v>152</v>
      </c>
      <c r="Q30" t="s">
        <v>153</v>
      </c>
      <c r="R30" t="str">
        <v>BRML12</v>
      </c>
      <c r="S30" s="22" t="str">
        <f t="shared" si="0"/>
        <v>BRML12 Corp</v>
      </c>
    </row>
    <row r="31" spans="2:19" x14ac:dyDescent="0.25">
      <c r="B31" s="70" t="str">
        <v>Itau Unibanco Holdin</v>
      </c>
      <c r="C31" s="71" t="str">
        <v>n/a</v>
      </c>
      <c r="D31" s="71" t="str">
        <v>ULT-AGG</v>
      </c>
      <c r="E31" s="72">
        <v>676122</v>
      </c>
      <c r="F31" s="71">
        <v>0.61</v>
      </c>
      <c r="G31" s="73">
        <v>-127281</v>
      </c>
      <c r="H31" s="74">
        <v>45826</v>
      </c>
      <c r="I31" s="71" t="str">
        <v>Bank</v>
      </c>
      <c r="J31" s="71" t="str">
        <v>Brazil</v>
      </c>
      <c r="K31" s="71" t="str">
        <v>Sao Paulo</v>
      </c>
      <c r="L31" s="75"/>
      <c r="P31" t="s">
        <v>41</v>
      </c>
      <c r="Q31" t="s">
        <v>42</v>
      </c>
      <c r="R31" t="str">
        <v>BRML22</v>
      </c>
      <c r="S31" s="22" t="str">
        <f t="shared" si="0"/>
        <v>BRML22 Corp</v>
      </c>
    </row>
    <row r="32" spans="2:19" x14ac:dyDescent="0.25">
      <c r="B32" s="70" t="str">
        <v>Fundacao Sistel de S</v>
      </c>
      <c r="C32" s="71" t="str">
        <v>Multiple Portfolios</v>
      </c>
      <c r="D32" s="71" t="str">
        <v>MF-AGG</v>
      </c>
      <c r="E32" s="72">
        <v>388470</v>
      </c>
      <c r="F32" s="71">
        <v>0.35</v>
      </c>
      <c r="G32" s="73">
        <v>0</v>
      </c>
      <c r="H32" s="74">
        <v>45808</v>
      </c>
      <c r="I32" s="71" t="str">
        <v>Investment Advisor</v>
      </c>
      <c r="J32" s="71" t="str">
        <v>Brazil</v>
      </c>
      <c r="K32" s="71" t="str">
        <v>Unclassified</v>
      </c>
      <c r="L32" s="75"/>
      <c r="P32" t="s">
        <v>43</v>
      </c>
      <c r="Q32" t="s">
        <v>44</v>
      </c>
      <c r="R32" t="str">
        <v>SBSPA5</v>
      </c>
      <c r="S32" s="22" t="str">
        <f t="shared" si="0"/>
        <v>SBSPA5 Corp</v>
      </c>
    </row>
    <row r="33" spans="2:19" x14ac:dyDescent="0.25">
      <c r="B33" s="70" t="str">
        <v>Caixa de Previdencia</v>
      </c>
      <c r="C33" s="71" t="str">
        <v>Multiple Portfolios</v>
      </c>
      <c r="D33" s="71" t="str">
        <v>MF-AGG</v>
      </c>
      <c r="E33" s="72">
        <v>259355</v>
      </c>
      <c r="F33" s="71">
        <v>0.24</v>
      </c>
      <c r="G33" s="73">
        <v>0</v>
      </c>
      <c r="H33" s="74">
        <v>45808</v>
      </c>
      <c r="I33" s="71" t="str">
        <v>Government</v>
      </c>
      <c r="J33" s="71" t="str">
        <v>Brazil</v>
      </c>
      <c r="K33" s="71" t="str">
        <v>Rio de Janeiro</v>
      </c>
      <c r="L33" s="75"/>
      <c r="P33" t="s">
        <v>206</v>
      </c>
      <c r="Q33" t="s">
        <v>207</v>
      </c>
      <c r="R33" t="str">
        <v>SBSPB5</v>
      </c>
      <c r="S33" s="22" t="str">
        <f t="shared" si="0"/>
        <v>SBSPB5 Corp</v>
      </c>
    </row>
    <row r="34" spans="2:19" x14ac:dyDescent="0.25">
      <c r="B34" s="70" t="str">
        <v>BNP Paribas Asset Ma</v>
      </c>
      <c r="C34" s="71" t="str">
        <v>Multiple Portfolios</v>
      </c>
      <c r="D34" s="71" t="str">
        <v>MF-AGG</v>
      </c>
      <c r="E34" s="72">
        <v>227666</v>
      </c>
      <c r="F34" s="71">
        <v>0.21</v>
      </c>
      <c r="G34" s="73">
        <v>-117777</v>
      </c>
      <c r="H34" s="74">
        <v>45808</v>
      </c>
      <c r="I34" s="71" t="str">
        <v>Investment Advisor</v>
      </c>
      <c r="J34" s="71" t="str">
        <v>Brazil</v>
      </c>
      <c r="K34" s="71" t="str">
        <v>Sao Paulo</v>
      </c>
      <c r="L34" s="75"/>
      <c r="P34" t="s">
        <v>347</v>
      </c>
      <c r="Q34" t="s">
        <v>348</v>
      </c>
      <c r="R34" t="str">
        <v>SULM11</v>
      </c>
      <c r="S34" s="22" t="str">
        <f t="shared" si="0"/>
        <v>SULM11 Corp</v>
      </c>
    </row>
    <row r="35" spans="2:19" x14ac:dyDescent="0.25">
      <c r="B35" s="70" t="str">
        <v>Kirton Gestao de Rec</v>
      </c>
      <c r="C35" s="71" t="str">
        <v>Multiple Portfolios</v>
      </c>
      <c r="D35" s="71" t="str">
        <v>MF-AGG</v>
      </c>
      <c r="E35" s="72">
        <v>176633</v>
      </c>
      <c r="F35" s="71">
        <v>0.16</v>
      </c>
      <c r="G35" s="73">
        <v>-368</v>
      </c>
      <c r="H35" s="74">
        <v>45808</v>
      </c>
      <c r="I35" s="71" t="str">
        <v>Investment Advisor</v>
      </c>
      <c r="J35" s="71" t="str">
        <v>Brazil</v>
      </c>
      <c r="K35" s="71" t="str">
        <v>Sao Paulo</v>
      </c>
      <c r="L35" s="75"/>
      <c r="R35" t="str">
        <v>CSMG16</v>
      </c>
      <c r="S35" s="22" t="str">
        <f t="shared" si="0"/>
        <v>CSMG16 Corp</v>
      </c>
    </row>
    <row r="36" spans="2:19" x14ac:dyDescent="0.25">
      <c r="B36" s="70" t="str">
        <v>BTG Pactual Holding</v>
      </c>
      <c r="C36" s="71" t="str">
        <v>n/a</v>
      </c>
      <c r="D36" s="71" t="str">
        <v>ULT-AGG</v>
      </c>
      <c r="E36" s="72">
        <v>170206</v>
      </c>
      <c r="F36" s="71">
        <v>0.15</v>
      </c>
      <c r="G36" s="73">
        <v>-18880</v>
      </c>
      <c r="H36" s="74">
        <v>45808</v>
      </c>
      <c r="I36" s="71" t="str">
        <v>Investment Advisor</v>
      </c>
      <c r="J36" s="71" t="str">
        <v>Brazil</v>
      </c>
      <c r="K36" s="71" t="str">
        <v>Sao Paulo</v>
      </c>
      <c r="L36" s="75"/>
      <c r="P36" t="str" cm="1">
        <f t="array" ref="P36">_xll.BDS("bntnc  corp","bond chain")</f>
        <v>#N/A Field Not Applicable</v>
      </c>
      <c r="R36" t="str">
        <v>CSMG26</v>
      </c>
      <c r="S36" s="22" t="str">
        <f t="shared" si="0"/>
        <v>CSMG26 Corp</v>
      </c>
    </row>
    <row r="37" spans="2:19" x14ac:dyDescent="0.25">
      <c r="B37" s="70" t="str">
        <v>Real Grandeza - Fund</v>
      </c>
      <c r="C37" s="71" t="str">
        <v>Multiple Portfolios</v>
      </c>
      <c r="D37" s="71" t="str">
        <v>MF-AGG</v>
      </c>
      <c r="E37" s="72">
        <v>150593</v>
      </c>
      <c r="F37" s="71">
        <v>0.14000000000000001</v>
      </c>
      <c r="G37" s="73">
        <v>0</v>
      </c>
      <c r="H37" s="74">
        <v>45808</v>
      </c>
      <c r="I37" s="71" t="str">
        <v>Investment Advisor</v>
      </c>
      <c r="J37" s="71" t="str">
        <v>Brazil</v>
      </c>
      <c r="K37" s="71" t="str">
        <v>Rio de Janeiro</v>
      </c>
      <c r="L37" s="75"/>
      <c r="R37" t="str">
        <v>CMTR13</v>
      </c>
      <c r="S37" s="22" t="str">
        <f t="shared" si="0"/>
        <v>CMTR13 Corp</v>
      </c>
    </row>
    <row r="38" spans="2:19" x14ac:dyDescent="0.25">
      <c r="B38" s="70" t="str">
        <v>ICATU VANGUARDA GEST</v>
      </c>
      <c r="C38" s="71" t="str">
        <v>Multiple Portfolios</v>
      </c>
      <c r="D38" s="71" t="str">
        <v>MF-AGG</v>
      </c>
      <c r="E38" s="72">
        <v>145165</v>
      </c>
      <c r="F38" s="71">
        <v>0.13</v>
      </c>
      <c r="G38" s="73">
        <v>8863</v>
      </c>
      <c r="H38" s="74">
        <v>45808</v>
      </c>
      <c r="I38" s="71" t="str">
        <v>Other</v>
      </c>
      <c r="J38" s="71" t="str">
        <v>Brazil</v>
      </c>
      <c r="K38" s="71" t="str">
        <v>Unclassified</v>
      </c>
      <c r="L38" s="75"/>
      <c r="R38" t="str">
        <v>CCPE12</v>
      </c>
      <c r="S38" s="22" t="str">
        <f t="shared" si="0"/>
        <v>CCPE12 Corp</v>
      </c>
    </row>
    <row r="39" spans="2:19" x14ac:dyDescent="0.25">
      <c r="B39" s="70" t="str">
        <v>Fundacao dos Economi</v>
      </c>
      <c r="C39" s="71" t="str">
        <v>Multiple Portfolios</v>
      </c>
      <c r="D39" s="71" t="str">
        <v>MF-AGG</v>
      </c>
      <c r="E39" s="72">
        <v>130546</v>
      </c>
      <c r="F39" s="71">
        <v>0.12</v>
      </c>
      <c r="G39" s="73">
        <v>0</v>
      </c>
      <c r="H39" s="74">
        <v>45657</v>
      </c>
      <c r="I39" s="71" t="str">
        <v>Investment Advisor</v>
      </c>
      <c r="J39" s="71" t="str">
        <v>Brazil</v>
      </c>
      <c r="K39" s="71" t="str">
        <v>Unclassified</v>
      </c>
      <c r="L39" s="75"/>
      <c r="P39" t="str" cm="1">
        <f t="array" ref="P39">_xll.BDS("blft  corp","bond chain")</f>
        <v>#N/A Invalid Security</v>
      </c>
      <c r="R39" t="str">
        <v>VOES14</v>
      </c>
      <c r="S39" s="22" t="str">
        <f t="shared" si="0"/>
        <v>VOES14 Corp</v>
      </c>
    </row>
    <row r="40" spans="2:19" x14ac:dyDescent="0.25">
      <c r="B40" s="70" t="str">
        <v>Franklin Resources I</v>
      </c>
      <c r="C40" s="71" t="str">
        <v>n/a</v>
      </c>
      <c r="D40" s="71" t="str">
        <v>ULT-AGG</v>
      </c>
      <c r="E40" s="72">
        <v>102782</v>
      </c>
      <c r="F40" s="71">
        <v>0.09</v>
      </c>
      <c r="G40" s="73">
        <v>-1940</v>
      </c>
      <c r="H40" s="74">
        <v>45808</v>
      </c>
      <c r="I40" s="71" t="str">
        <v>Investment Advisor</v>
      </c>
      <c r="J40" s="71" t="str">
        <v>United States</v>
      </c>
      <c r="K40" s="71" t="str">
        <v>San Francisco/San Jose</v>
      </c>
      <c r="L40" s="75"/>
      <c r="R40" t="str">
        <v>CMTR23</v>
      </c>
      <c r="S40" s="22" t="str">
        <f t="shared" si="0"/>
        <v>CMTR23 Corp</v>
      </c>
    </row>
    <row r="41" spans="2:19" x14ac:dyDescent="0.25">
      <c r="B41" s="70" t="str">
        <v>Serpros Fundo Multip</v>
      </c>
      <c r="C41" s="71" t="str">
        <v>Multiple Portfolios</v>
      </c>
      <c r="D41" s="71" t="str">
        <v>MF-AGG</v>
      </c>
      <c r="E41" s="72">
        <v>89815</v>
      </c>
      <c r="F41" s="71">
        <v>0.08</v>
      </c>
      <c r="G41" s="73">
        <v>0</v>
      </c>
      <c r="H41" s="74">
        <v>45808</v>
      </c>
      <c r="I41" s="71" t="str">
        <v>Investment Advisor</v>
      </c>
      <c r="J41" s="71" t="str">
        <v>Brazil</v>
      </c>
      <c r="K41" s="71" t="str">
        <v>Rio de Janeiro</v>
      </c>
      <c r="L41" s="75"/>
      <c r="R41" t="str">
        <v>CMTR33</v>
      </c>
      <c r="S41" s="22" t="str">
        <f t="shared" si="0"/>
        <v>CMTR33 Corp</v>
      </c>
    </row>
    <row r="42" spans="2:19" x14ac:dyDescent="0.25">
      <c r="B42" s="70" t="str">
        <v>Caixa Beneficente do</v>
      </c>
      <c r="C42" s="71" t="str">
        <v>Multiple Portfolios</v>
      </c>
      <c r="D42" s="71" t="str">
        <v>MF-AGG</v>
      </c>
      <c r="E42" s="72">
        <v>67350</v>
      </c>
      <c r="F42" s="71">
        <v>0.06</v>
      </c>
      <c r="G42" s="73">
        <v>0</v>
      </c>
      <c r="H42" s="74">
        <v>45808</v>
      </c>
      <c r="I42" s="71" t="str">
        <v>Investment Advisor</v>
      </c>
      <c r="J42" s="71" t="str">
        <v>Brazil</v>
      </c>
      <c r="K42" s="71" t="str">
        <v>Rio de Janeiro</v>
      </c>
      <c r="L42" s="75"/>
      <c r="R42" t="str">
        <v>PDGP17</v>
      </c>
      <c r="S42" s="22" t="str">
        <f t="shared" si="0"/>
        <v>PDGP17 Corp</v>
      </c>
    </row>
    <row r="43" spans="2:19" x14ac:dyDescent="0.25">
      <c r="B43" s="70" t="str">
        <v>Fundacao Petrobras d</v>
      </c>
      <c r="C43" s="71" t="str">
        <v>Multiple Portfolios</v>
      </c>
      <c r="D43" s="71" t="str">
        <v>MF-AGG</v>
      </c>
      <c r="E43" s="72">
        <v>52174</v>
      </c>
      <c r="F43" s="71">
        <v>0.05</v>
      </c>
      <c r="G43" s="73">
        <v>-20200</v>
      </c>
      <c r="H43" s="74">
        <v>45808</v>
      </c>
      <c r="I43" s="71" t="str">
        <v>Investment Advisor</v>
      </c>
      <c r="J43" s="71" t="str">
        <v>Brazil</v>
      </c>
      <c r="K43" s="71" t="str">
        <v>Rio de Janeiro</v>
      </c>
      <c r="L43" s="75"/>
      <c r="R43" t="str">
        <v>CTAP11</v>
      </c>
      <c r="S43" s="22" t="str">
        <f t="shared" si="0"/>
        <v>CTAP11 Corp</v>
      </c>
    </row>
    <row r="44" spans="2:19" x14ac:dyDescent="0.25">
      <c r="B44" s="70" t="str">
        <v>Principal Financial</v>
      </c>
      <c r="C44" s="71" t="str">
        <v>n/a</v>
      </c>
      <c r="D44" s="71" t="str">
        <v>ULT-AGG</v>
      </c>
      <c r="E44" s="72">
        <v>50000</v>
      </c>
      <c r="F44" s="71">
        <v>0.05</v>
      </c>
      <c r="G44" s="73">
        <v>0</v>
      </c>
      <c r="H44" s="74">
        <v>45808</v>
      </c>
      <c r="I44" s="71" t="str">
        <v>Investment Advisor</v>
      </c>
      <c r="J44" s="71" t="str">
        <v>United States</v>
      </c>
      <c r="K44" s="71" t="str">
        <v>Des Moines</v>
      </c>
      <c r="L44" s="75"/>
      <c r="R44" t="str">
        <v>ENGI25</v>
      </c>
      <c r="S44" s="22" t="str">
        <f t="shared" si="0"/>
        <v>ENGI25 Corp</v>
      </c>
    </row>
    <row r="45" spans="2:19" x14ac:dyDescent="0.25">
      <c r="B45" s="70" t="str">
        <v>Sul America Investim</v>
      </c>
      <c r="C45" s="71" t="str">
        <v>Multiple Portfolios</v>
      </c>
      <c r="D45" s="71" t="str">
        <v>MF-AGG</v>
      </c>
      <c r="E45" s="72">
        <v>37795</v>
      </c>
      <c r="F45" s="71">
        <v>0.03</v>
      </c>
      <c r="G45" s="73">
        <v>-130</v>
      </c>
      <c r="H45" s="74">
        <v>45808</v>
      </c>
      <c r="I45" s="71" t="str">
        <v>Investment Advisor</v>
      </c>
      <c r="J45" s="71" t="str">
        <v>Brazil</v>
      </c>
      <c r="K45" s="71" t="str">
        <v>Sao Paulo</v>
      </c>
      <c r="L45" s="75"/>
      <c r="R45" t="str">
        <v>BRPR11</v>
      </c>
      <c r="S45" s="22" t="str">
        <f t="shared" si="0"/>
        <v>BRPR11 Corp</v>
      </c>
    </row>
    <row r="46" spans="2:19" x14ac:dyDescent="0.25">
      <c r="B46" s="76" t="str">
        <v>Invesco Ltd</v>
      </c>
      <c r="C46" s="77" t="str">
        <v>n/a</v>
      </c>
      <c r="D46" s="77" t="str">
        <v>ULT-AGG</v>
      </c>
      <c r="E46" s="78">
        <v>36000</v>
      </c>
      <c r="F46" s="77">
        <v>0.03</v>
      </c>
      <c r="G46" s="79">
        <v>0</v>
      </c>
      <c r="H46" s="80">
        <v>45777</v>
      </c>
      <c r="I46" s="77" t="str">
        <v>Investment Advisor</v>
      </c>
      <c r="J46" s="77" t="str">
        <v>United States</v>
      </c>
      <c r="K46" s="77" t="str">
        <v>Atlanta</v>
      </c>
      <c r="L46" s="81"/>
      <c r="R46" t="str">
        <v>RDVT11</v>
      </c>
      <c r="S46" s="22" t="str">
        <f t="shared" si="0"/>
        <v>RDVT11 Corp</v>
      </c>
    </row>
    <row r="47" spans="2:19" x14ac:dyDescent="0.25">
      <c r="R47" t="str">
        <v>LRNE15</v>
      </c>
      <c r="S47" s="22" t="str">
        <f t="shared" si="0"/>
        <v>LRNE15 Corp</v>
      </c>
    </row>
    <row r="48" spans="2:19" hidden="1" x14ac:dyDescent="0.25">
      <c r="B48" t="str">
        <f>P8</f>
        <v>BNTNB 6.000 05/15/55 Corp</v>
      </c>
      <c r="F48" t="str">
        <f>B48</f>
        <v>BNTNB 6.000 05/15/55 Corp</v>
      </c>
      <c r="R48" t="str">
        <v>LRNE25</v>
      </c>
      <c r="S48" s="22" t="str">
        <f t="shared" si="0"/>
        <v>LRNE25 Corp</v>
      </c>
    </row>
    <row r="49" spans="2:19" x14ac:dyDescent="0.25">
      <c r="R49" t="str">
        <v>MRSS15</v>
      </c>
      <c r="S49" s="22" t="str">
        <f t="shared" si="0"/>
        <v>MRSS15 Corp</v>
      </c>
    </row>
    <row r="50" spans="2:19" x14ac:dyDescent="0.25">
      <c r="B50" s="320" t="s">
        <v>377</v>
      </c>
      <c r="C50" s="321"/>
      <c r="D50" s="322"/>
      <c r="F50" s="320" t="s">
        <v>379</v>
      </c>
      <c r="G50" s="322"/>
      <c r="I50" s="320" t="s">
        <v>380</v>
      </c>
      <c r="J50" s="321"/>
      <c r="K50" s="322"/>
      <c r="M50" s="311" t="s">
        <v>382</v>
      </c>
      <c r="N50" s="312"/>
      <c r="R50" t="str">
        <v>CANT32</v>
      </c>
      <c r="S50" s="22" t="str">
        <f t="shared" si="0"/>
        <v>CANT32 Corp</v>
      </c>
    </row>
    <row r="51" spans="2:19" ht="5.0999999999999996" hidden="1" customHeight="1" x14ac:dyDescent="0.25">
      <c r="B51" s="94"/>
      <c r="C51" s="95"/>
      <c r="D51" s="96"/>
      <c r="F51" s="102"/>
      <c r="G51" s="103"/>
      <c r="I51" s="102"/>
      <c r="J51" s="100"/>
      <c r="K51" s="103"/>
      <c r="M51" s="125"/>
      <c r="N51" s="126"/>
      <c r="R51" t="str">
        <v>ENGI15</v>
      </c>
      <c r="S51" s="22" t="str">
        <f t="shared" si="0"/>
        <v>ENGI15 Corp</v>
      </c>
    </row>
    <row r="52" spans="2:19" x14ac:dyDescent="0.25">
      <c r="B52" s="97" t="s">
        <v>378</v>
      </c>
      <c r="C52" s="98" t="s">
        <v>95</v>
      </c>
      <c r="D52" s="99" t="s">
        <v>96</v>
      </c>
      <c r="F52" s="137" t="s">
        <v>141</v>
      </c>
      <c r="G52" s="105" t="str" cm="1">
        <f t="array" ref="G52">IF(_xlfn.SINGLE(_xll.BDP(F48,"ID_BB_ULTIMATE_PARENT_CO_NAME"))="Federative Republic of Brazil","Fed Republic of Brazil",_xll.BDP(F48,"ID_BB_ULTIMATE_PARENT_CO_NAME"))</f>
        <v>Fed Republic of Brazil</v>
      </c>
      <c r="H52" s="31"/>
      <c r="I52" s="104" t="s">
        <v>82</v>
      </c>
      <c r="J52" s="101" t="s">
        <v>84</v>
      </c>
      <c r="K52" s="114" t="s">
        <v>85</v>
      </c>
      <c r="M52" s="342" t="str" cm="1">
        <f t="array" ref="M52:N1188">_xll.BDS($B$6,"AMOUNT_OUTSTANDING_HISTORY","headers=y")</f>
        <v>Date</v>
      </c>
      <c r="N52" s="83" t="str">
        <v>Amount Outstanding</v>
      </c>
      <c r="R52" t="str">
        <v>AMPL17</v>
      </c>
      <c r="S52" s="22" t="str">
        <f t="shared" si="0"/>
        <v>AMPL17 Corp</v>
      </c>
    </row>
    <row r="53" spans="2:19" x14ac:dyDescent="0.25">
      <c r="B53" s="61" t="s">
        <v>71</v>
      </c>
      <c r="C53" s="62"/>
      <c r="D53" s="63"/>
      <c r="F53" s="138" t="s">
        <v>61</v>
      </c>
      <c r="G53" s="106" t="str" cm="1">
        <f t="array" ref="G53">_xll.BDP(F48, "DDIS_CURRENCY")</f>
        <v>BRL</v>
      </c>
      <c r="H53" s="31"/>
      <c r="I53" s="115" cm="1">
        <f t="array" ref="I53:K112">_xll.BDS(P8,"DES_CASH_FLOW","YLD_FLAG","1","Fill=--")</f>
        <v>45978</v>
      </c>
      <c r="J53" s="116">
        <v>133646.17800000001</v>
      </c>
      <c r="K53" s="117">
        <v>0</v>
      </c>
      <c r="M53" s="343">
        <v>42024</v>
      </c>
      <c r="N53" s="127">
        <v>1899483000</v>
      </c>
      <c r="P53" t="str" cm="1">
        <f t="array" ref="P53">_xll.BDS("bltn  corp","bond chain")</f>
        <v>#N/A Invalid Security</v>
      </c>
      <c r="R53" t="str">
        <v>BRPR21</v>
      </c>
      <c r="S53" s="22" t="str">
        <f t="shared" si="0"/>
        <v>BRPR21 Corp</v>
      </c>
    </row>
    <row r="54" spans="2:19" x14ac:dyDescent="0.25">
      <c r="B54" s="60" t="str" cm="1">
        <f t="array" ref="B54">_xll.BDP(B48, "SECURITY_DES","Fill=--")</f>
        <v>BNTNB 6 05/15/55</v>
      </c>
      <c r="C54" s="51" t="str" cm="1">
        <f t="array" ref="C54">_xll.BDP(B48, "RTG_MOODY","Fill=--")</f>
        <v>Ba1</v>
      </c>
      <c r="D54" s="54" t="str" cm="1">
        <f t="array" ref="D54">_xll.BDP(B48, "MOODY_EFF_DT","Fill=--")</f>
        <v>10/1/2024</v>
      </c>
      <c r="I54" s="118">
        <v>46157</v>
      </c>
      <c r="J54" s="119">
        <v>133646.17800000001</v>
      </c>
      <c r="K54" s="120">
        <v>0</v>
      </c>
      <c r="M54" s="118">
        <v>42055</v>
      </c>
      <c r="N54" s="128">
        <v>3399019000</v>
      </c>
      <c r="R54" t="str">
        <v>TAEE13</v>
      </c>
      <c r="S54" s="22" t="str">
        <f t="shared" si="0"/>
        <v>TAEE13 Corp</v>
      </c>
    </row>
    <row r="55" spans="2:19" x14ac:dyDescent="0.25">
      <c r="B55" s="60" t="s">
        <v>97</v>
      </c>
      <c r="C55" s="51" t="str" cm="1">
        <f t="array" ref="C55">_xll.BDP(B48, "RTG_MDY_OUTLOOK","Fill=--")</f>
        <v>STABLE</v>
      </c>
      <c r="D55" s="54" t="str" cm="1">
        <f t="array" ref="D55">_xll.BDP(B48, "RTG_MDY_OUTLOOK_DT","Fill=--")</f>
        <v>5/30/2025</v>
      </c>
      <c r="F55" s="139" t="s">
        <v>142</v>
      </c>
      <c r="G55" s="108" cm="1">
        <f t="array" ref="G55">_xll.BDP(F48, "DDIS_AMT_OUTSTANDING_BND_LN")</f>
        <v>7777933964524.752</v>
      </c>
      <c r="I55" s="118">
        <v>46342</v>
      </c>
      <c r="J55" s="119">
        <v>133646.17800000001</v>
      </c>
      <c r="K55" s="120">
        <v>0</v>
      </c>
      <c r="M55" s="118">
        <v>42083</v>
      </c>
      <c r="N55" s="128">
        <v>4650802000</v>
      </c>
      <c r="R55" t="str">
        <v>ELSPA5</v>
      </c>
      <c r="S55" s="22" t="str">
        <f t="shared" si="0"/>
        <v>ELSPA5 Corp</v>
      </c>
    </row>
    <row r="56" spans="2:19" x14ac:dyDescent="0.25">
      <c r="B56" s="60" t="s">
        <v>98</v>
      </c>
      <c r="C56" s="51" t="str" cm="1">
        <f t="array" ref="C56">_xll.BDP(B48, "RTG_MDY_ISSUER","Fill=--")</f>
        <v>--</v>
      </c>
      <c r="D56" s="54" t="str" cm="1">
        <f t="array" ref="D56">_xll.BDP(B48, "RTG_MDY_ISSUER_RTG_DT","Fill=--")</f>
        <v>--</v>
      </c>
      <c r="F56" s="140" t="s">
        <v>143</v>
      </c>
      <c r="G56" s="109" cm="1">
        <f t="array" ref="G56">_xll.BDP(F48, "DDIS_AVG_COUPON")</f>
        <v>6.8333296743465279</v>
      </c>
      <c r="I56" s="118">
        <v>46524</v>
      </c>
      <c r="J56" s="119">
        <v>133646.17800000001</v>
      </c>
      <c r="K56" s="120">
        <v>0</v>
      </c>
      <c r="M56" s="118">
        <v>42114</v>
      </c>
      <c r="N56" s="128">
        <v>6154517000</v>
      </c>
      <c r="R56" t="str">
        <v>ECCR22</v>
      </c>
      <c r="S56" s="22" t="str">
        <f t="shared" si="0"/>
        <v>ECCR22 Corp</v>
      </c>
    </row>
    <row r="57" spans="2:19" x14ac:dyDescent="0.25">
      <c r="B57" s="60" t="s">
        <v>99</v>
      </c>
      <c r="C57" s="51" t="str" cm="1">
        <f t="array" ref="C57">_xll.BDP(B48, "RTG_MOODY_LONG_TERM","Fill=--")</f>
        <v>--</v>
      </c>
      <c r="D57" s="54" t="str" cm="1">
        <f t="array" ref="D57">_xll.BDP(B48, "RTG_MOODY_LONG_TERM_DATE","Fill=--")</f>
        <v>--</v>
      </c>
      <c r="F57" s="140" t="s">
        <v>144</v>
      </c>
      <c r="G57" s="109" t="str" cm="1">
        <f t="array" ref="G57">_xll.BDP(F48, "DDIS_AVG_MTY")</f>
        <v>11/21/2030</v>
      </c>
      <c r="I57" s="118">
        <v>46707</v>
      </c>
      <c r="J57" s="119">
        <v>133646.17800000001</v>
      </c>
      <c r="K57" s="120">
        <v>0</v>
      </c>
      <c r="M57" s="118">
        <v>42144</v>
      </c>
      <c r="N57" s="128">
        <v>6834437000</v>
      </c>
      <c r="R57" t="str">
        <v>TPIS14</v>
      </c>
      <c r="S57" s="22" t="str">
        <f t="shared" si="0"/>
        <v>TPIS14 Corp</v>
      </c>
    </row>
    <row r="58" spans="2:19" x14ac:dyDescent="0.25">
      <c r="B58" s="60" t="s">
        <v>100</v>
      </c>
      <c r="C58" s="51" t="str" cm="1">
        <f t="array" ref="C58">_xll.BDP(B48, "RTG_MDY_LC_CURR_ISSUER_RATING","Fill=--")</f>
        <v>Ba1</v>
      </c>
      <c r="D58" s="54" t="str" cm="1">
        <f t="array" ref="D58">_xll.BDP(B48, "RTG_MDY_LC_CURR_ISSUER_RTG_DT","Fill=--")</f>
        <v>10/1/2024</v>
      </c>
      <c r="F58" s="138" t="s">
        <v>145</v>
      </c>
      <c r="G58" s="110" cm="1">
        <f t="array" ref="G58">_xll.BDP(F48, "DDIS_NUM_ISSUES_BND_LN")</f>
        <v>101</v>
      </c>
      <c r="I58" s="118">
        <v>46888</v>
      </c>
      <c r="J58" s="119">
        <v>133646.17800000001</v>
      </c>
      <c r="K58" s="120">
        <v>0</v>
      </c>
      <c r="M58" s="118">
        <v>42175</v>
      </c>
      <c r="N58" s="128">
        <v>7594974000</v>
      </c>
      <c r="R58" t="str">
        <v>ECCR32</v>
      </c>
      <c r="S58" s="22" t="str">
        <f t="shared" si="0"/>
        <v>ECCR32 Corp</v>
      </c>
    </row>
    <row r="59" spans="2:19" x14ac:dyDescent="0.25">
      <c r="B59" s="60" t="s">
        <v>101</v>
      </c>
      <c r="C59" s="51" t="str" cm="1">
        <f t="array" ref="C59">_xll.BDP(B48, "RTG_MDY_SEN_UNSECURED_DEBT","Fill=--")</f>
        <v>--</v>
      </c>
      <c r="D59" s="54" t="str" cm="1">
        <f t="array" ref="D59">_xll.BDP(B48, "RTG_MDY_SEN_UNSEC_RTG_DT","Fill=--")</f>
        <v>--</v>
      </c>
      <c r="I59" s="118">
        <v>47073</v>
      </c>
      <c r="J59" s="119">
        <v>133646.17800000001</v>
      </c>
      <c r="K59" s="120">
        <v>0</v>
      </c>
      <c r="M59" s="118">
        <v>42205</v>
      </c>
      <c r="N59" s="128">
        <v>7905757000</v>
      </c>
      <c r="R59" t="str">
        <v>ECCR12</v>
      </c>
      <c r="S59" s="22" t="str">
        <f t="shared" si="0"/>
        <v>ECCR12 Corp</v>
      </c>
    </row>
    <row r="60" spans="2:19" x14ac:dyDescent="0.25">
      <c r="B60" s="60" t="s">
        <v>102</v>
      </c>
      <c r="C60" s="51" t="str" cm="1">
        <f t="array" ref="C60">_xll.BDP(B48, "RTG_MDY_SHORT_TERM_DEBT","Fill=--")</f>
        <v>--</v>
      </c>
      <c r="D60" s="54" t="str" cm="1">
        <f t="array" ref="D60">_xll.BDP(B48, "RTG_MDY_ST_RTG_DT","Fill=--")</f>
        <v>--</v>
      </c>
      <c r="F60" s="309" t="s">
        <v>381</v>
      </c>
      <c r="G60" s="310"/>
      <c r="I60" s="118">
        <v>47253</v>
      </c>
      <c r="J60" s="119">
        <v>133646.17800000001</v>
      </c>
      <c r="K60" s="120">
        <v>0</v>
      </c>
      <c r="M60" s="118">
        <v>42236</v>
      </c>
      <c r="N60" s="128">
        <v>8657757000</v>
      </c>
      <c r="R60" t="str">
        <v>ANHB14</v>
      </c>
      <c r="S60" s="22" t="str">
        <f t="shared" si="0"/>
        <v>ANHB14 Corp</v>
      </c>
    </row>
    <row r="61" spans="2:19" x14ac:dyDescent="0.25">
      <c r="B61" s="60" t="s">
        <v>103</v>
      </c>
      <c r="C61" s="51" t="str" cm="1">
        <f t="array" ref="C61">_xll.BDP(B48, "RTG_MDY_SUBORDINATED_DEBT","Fill=--")</f>
        <v>--</v>
      </c>
      <c r="D61" s="54" t="str" cm="1">
        <f t="array" ref="D61">_xll.BDP(B48, "RTG_MDY_SUB_DEBT_RTG_DT","Fill=--")</f>
        <v>--</v>
      </c>
      <c r="F61" s="82" t="s">
        <v>146</v>
      </c>
      <c r="G61" s="83" t="s">
        <v>147</v>
      </c>
      <c r="I61" s="118">
        <v>47438</v>
      </c>
      <c r="J61" s="119">
        <v>133646.17800000001</v>
      </c>
      <c r="K61" s="120">
        <v>0</v>
      </c>
      <c r="M61" s="118">
        <v>42267</v>
      </c>
      <c r="N61" s="128">
        <v>8607651000</v>
      </c>
      <c r="R61" t="str">
        <v>ANHB14</v>
      </c>
      <c r="S61" s="22" t="str">
        <f t="shared" si="0"/>
        <v>ANHB14 Corp</v>
      </c>
    </row>
    <row r="62" spans="2:19" x14ac:dyDescent="0.25">
      <c r="B62" s="60" t="s">
        <v>104</v>
      </c>
      <c r="C62" s="51" t="str" cm="1">
        <f t="array" ref="C62">_xll.BDP(B48, "RTG_MDY_JR_SUBORDINATED_DEBT","Fill=--")</f>
        <v>--</v>
      </c>
      <c r="D62" s="54" t="str" cm="1">
        <f t="array" ref="D62">_xll.BDP(B48, "RTG_MDY_JR_SUB_RTG_DT","Fill=--")</f>
        <v>--</v>
      </c>
      <c r="F62" s="84" cm="1">
        <f t="array" ref="F62:G84">_xll.BDS(F48,"DDIS_AMT_OUTSTANDING_BY_YR_BNDLN","EndRow=50")</f>
        <v>2025</v>
      </c>
      <c r="G62" s="85">
        <v>479305</v>
      </c>
      <c r="I62" s="118">
        <v>47618</v>
      </c>
      <c r="J62" s="119">
        <v>133646.17800000001</v>
      </c>
      <c r="K62" s="120">
        <v>0</v>
      </c>
      <c r="M62" s="118">
        <v>42297</v>
      </c>
      <c r="N62" s="128">
        <v>8774585000</v>
      </c>
      <c r="R62" t="str">
        <v>TAEE23</v>
      </c>
      <c r="S62" s="22" t="str">
        <f t="shared" si="0"/>
        <v>TAEE23 Corp</v>
      </c>
    </row>
    <row r="63" spans="2:19" x14ac:dyDescent="0.25">
      <c r="B63" s="60" t="s">
        <v>105</v>
      </c>
      <c r="C63" s="51" t="str" cm="1">
        <f t="array" ref="C63">_xll.BDP(B48, "RTG_MDY_FOREIGN_LT_BANK_DEPOSITS","Fill=--")</f>
        <v>--</v>
      </c>
      <c r="D63" s="54" t="str" cm="1">
        <f t="array" ref="D63">_xll.BDP(B48, "RTG_MDY_LT_FC_BANK_DEP_RTG_DT","Fill=--")</f>
        <v>--</v>
      </c>
      <c r="F63" s="86">
        <v>2026</v>
      </c>
      <c r="G63" s="87">
        <v>1192849</v>
      </c>
      <c r="I63" s="118">
        <v>47805</v>
      </c>
      <c r="J63" s="119">
        <v>133646.17800000001</v>
      </c>
      <c r="K63" s="120">
        <v>0</v>
      </c>
      <c r="M63" s="118">
        <v>42328</v>
      </c>
      <c r="N63" s="128">
        <v>9980786000</v>
      </c>
      <c r="R63" t="str">
        <v>TAEE33</v>
      </c>
      <c r="S63" s="22" t="str">
        <f t="shared" si="0"/>
        <v>TAEE33 Corp</v>
      </c>
    </row>
    <row r="64" spans="2:19" x14ac:dyDescent="0.25">
      <c r="B64" s="60" t="s">
        <v>106</v>
      </c>
      <c r="C64" s="51" t="str" cm="1">
        <f t="array" ref="C64">_xll.BDP(B48, "RTG_MDY_LOCAL_LT_BANK_DEPOSITS","Fill=--")</f>
        <v>--</v>
      </c>
      <c r="D64" s="54" t="str" cm="1">
        <f t="array" ref="D64">_xll.BDP(B48, "RTG_MDY_LT_LC_BANK_DEP_RTG_DT","Fill=--")</f>
        <v>--</v>
      </c>
      <c r="F64" s="86">
        <v>2027</v>
      </c>
      <c r="G64" s="87">
        <v>1335918</v>
      </c>
      <c r="I64" s="118">
        <v>47983</v>
      </c>
      <c r="J64" s="119">
        <v>133646.17800000001</v>
      </c>
      <c r="K64" s="120">
        <v>0</v>
      </c>
      <c r="M64" s="118">
        <v>42358</v>
      </c>
      <c r="N64" s="128">
        <v>10094666000</v>
      </c>
      <c r="R64" t="str">
        <v>ALGA22</v>
      </c>
      <c r="S64" s="22" t="str">
        <f t="shared" si="0"/>
        <v>ALGA22 Corp</v>
      </c>
    </row>
    <row r="65" spans="2:19" x14ac:dyDescent="0.25">
      <c r="B65" s="60" t="s">
        <v>107</v>
      </c>
      <c r="C65" s="51" t="str" cm="1">
        <f t="array" ref="C65">_xll.BDP(B48, "RTG_MDY_CC_LT_FC_BANK_DEPOSIT","Fill=--")</f>
        <v>WR</v>
      </c>
      <c r="D65" s="54" t="str" cm="1">
        <f t="array" ref="D65">_xll.BDP(B48, "RTG_MDY_CC_LT_FC_BANK_DEPOSIT_DT","Fill=--")</f>
        <v>12/7/2020</v>
      </c>
      <c r="F65" s="86">
        <v>2028</v>
      </c>
      <c r="G65" s="87">
        <v>837678</v>
      </c>
      <c r="I65" s="118">
        <v>48169</v>
      </c>
      <c r="J65" s="119">
        <v>133646.17800000001</v>
      </c>
      <c r="K65" s="120">
        <v>0</v>
      </c>
      <c r="M65" s="118">
        <v>42389</v>
      </c>
      <c r="N65" s="128">
        <v>9925098000</v>
      </c>
      <c r="R65" t="str">
        <v>CART12</v>
      </c>
      <c r="S65" s="22" t="str">
        <f t="shared" si="0"/>
        <v>CART12 Corp</v>
      </c>
    </row>
    <row r="66" spans="2:19" x14ac:dyDescent="0.25">
      <c r="B66" s="60" t="s">
        <v>108</v>
      </c>
      <c r="C66" s="51" t="str" cm="1">
        <f t="array" ref="C66">_xll.BDP(B48, "RTG_MDY_CC_LT_FC_DEBT","Fill=--")</f>
        <v>Baa1</v>
      </c>
      <c r="D66" s="54" t="str" cm="1">
        <f t="array" ref="D66">_xll.BDP(B48, "RTG_MDY_CC_LT_FC_DEBT_DT","Fill=--")</f>
        <v>10/1/2024</v>
      </c>
      <c r="F66" s="86">
        <v>2029</v>
      </c>
      <c r="G66" s="87">
        <v>969609</v>
      </c>
      <c r="I66" s="118">
        <v>48351</v>
      </c>
      <c r="J66" s="119">
        <v>133646.17800000001</v>
      </c>
      <c r="K66" s="120">
        <v>0</v>
      </c>
      <c r="M66" s="118">
        <v>42420</v>
      </c>
      <c r="N66" s="128">
        <v>10559409580.57</v>
      </c>
      <c r="Q66" t="str">
        <f>Debentures!C12</f>
        <v>VIVO34</v>
      </c>
      <c r="R66" t="str">
        <v>SBESA7</v>
      </c>
      <c r="S66" s="22" t="str">
        <f t="shared" si="0"/>
        <v>SBESA7 Corp</v>
      </c>
    </row>
    <row r="67" spans="2:19" x14ac:dyDescent="0.25">
      <c r="B67" s="60" t="s">
        <v>109</v>
      </c>
      <c r="C67" s="51" t="str" cm="1">
        <f t="array" ref="C67">_xll.BDP(B48, "RTG_MDY_CC_ST_FC_BANK_DEPOSIT","Fill=--")</f>
        <v>WR</v>
      </c>
      <c r="D67" s="54" t="str" cm="1">
        <f t="array" ref="D67">_xll.BDP(B48, "RTG_MDY_CC_ST_FC_BANK_DEPOSIT_DT","Fill=--")</f>
        <v>12/7/2020</v>
      </c>
      <c r="F67" s="86">
        <v>2030</v>
      </c>
      <c r="G67" s="87">
        <v>1030361</v>
      </c>
      <c r="I67" s="118">
        <v>48534</v>
      </c>
      <c r="J67" s="119">
        <v>133646.17800000001</v>
      </c>
      <c r="K67" s="120">
        <v>0</v>
      </c>
      <c r="M67" s="118">
        <v>42449</v>
      </c>
      <c r="N67" s="128">
        <v>12646409000</v>
      </c>
      <c r="Q67" t="str">
        <f>Debentures!C13</f>
        <v>AVIA21</v>
      </c>
      <c r="R67" t="str">
        <v>SBESB7</v>
      </c>
      <c r="S67" s="22" t="str">
        <f t="shared" si="0"/>
        <v>SBESB7 Corp</v>
      </c>
    </row>
    <row r="68" spans="2:19" x14ac:dyDescent="0.25">
      <c r="B68" s="60" t="s">
        <v>110</v>
      </c>
      <c r="C68" s="51" t="str" cm="1">
        <f t="array" ref="C68">_xll.BDP(B48, "RTG_MDY_CC_ST_FC_DEBT","Fill=--")</f>
        <v>WR</v>
      </c>
      <c r="D68" s="54" t="str" cm="1">
        <f t="array" ref="D68">_xll.BDP(B48, "RTG_MDY_CC_ST_FC_DEBT_DT","Fill=--")</f>
        <v>12/7/2020</v>
      </c>
      <c r="F68" s="86">
        <v>2031</v>
      </c>
      <c r="G68" s="87">
        <v>510831</v>
      </c>
      <c r="I68" s="118">
        <v>48715</v>
      </c>
      <c r="J68" s="119">
        <v>133646.17800000001</v>
      </c>
      <c r="K68" s="120">
        <v>0</v>
      </c>
      <c r="M68" s="118">
        <v>42480</v>
      </c>
      <c r="N68" s="128">
        <v>13779216000</v>
      </c>
      <c r="Q68" t="str">
        <f>Debentures!C14</f>
        <v>CBAN11</v>
      </c>
      <c r="R68" t="str">
        <v>TSAE22</v>
      </c>
      <c r="S68" s="22" t="str">
        <f t="shared" si="0"/>
        <v>TSAE22 Corp</v>
      </c>
    </row>
    <row r="69" spans="2:19" x14ac:dyDescent="0.25">
      <c r="B69" s="60" t="s">
        <v>111</v>
      </c>
      <c r="C69" s="51" t="str" cm="1">
        <f t="array" ref="C69">_xll.BDP(B48, "RTG_MDY_LT_FC_DEBT_RATING","Fill=--")</f>
        <v>Ba1</v>
      </c>
      <c r="D69" s="54" t="str" cm="1">
        <f t="array" ref="D69">_xll.BDP(B48, "RTG_MDY_LT_FC_DEBT_RTG_DT","Fill=--")</f>
        <v>10/1/2024</v>
      </c>
      <c r="F69" s="86">
        <v>2032</v>
      </c>
      <c r="G69" s="87">
        <v>135085</v>
      </c>
      <c r="I69" s="118">
        <v>48899</v>
      </c>
      <c r="J69" s="119">
        <v>133646.17800000001</v>
      </c>
      <c r="K69" s="120">
        <v>0</v>
      </c>
      <c r="M69" s="118">
        <v>42510</v>
      </c>
      <c r="N69" s="128">
        <v>14644191000</v>
      </c>
      <c r="Q69" t="str">
        <f>Debentures!C15</f>
        <v>CBAN21</v>
      </c>
      <c r="R69" t="str">
        <v>IGTA24</v>
      </c>
      <c r="S69" s="22" t="str">
        <f t="shared" si="0"/>
        <v>IGTA24 Corp</v>
      </c>
    </row>
    <row r="70" spans="2:19" x14ac:dyDescent="0.25">
      <c r="B70" s="60" t="s">
        <v>112</v>
      </c>
      <c r="C70" s="51" t="str" cm="1">
        <f t="array" ref="C70">_xll.BDP(B48, "RTG_MDY_LT_LC_DEBT_RATING","Fill=--")</f>
        <v>Ba1</v>
      </c>
      <c r="D70" s="54" t="str" cm="1">
        <f t="array" ref="D70">_xll.BDP(B48, "RTG_MDY_LT_LC_DEBT_RTG_DT","Fill=--")</f>
        <v>10/1/2024</v>
      </c>
      <c r="F70" s="86">
        <v>2033</v>
      </c>
      <c r="G70" s="87">
        <v>116469</v>
      </c>
      <c r="I70" s="118">
        <v>49079</v>
      </c>
      <c r="J70" s="119">
        <v>133646.17800000001</v>
      </c>
      <c r="K70" s="120">
        <v>0</v>
      </c>
      <c r="M70" s="118">
        <v>42541</v>
      </c>
      <c r="N70" s="128">
        <v>14538827000</v>
      </c>
      <c r="Q70" t="str">
        <f>Debentures!C16</f>
        <v>ITAP13</v>
      </c>
      <c r="R70" t="str">
        <v>CART22</v>
      </c>
      <c r="S70" s="22" t="str">
        <f t="shared" si="0"/>
        <v>CART22 Corp</v>
      </c>
    </row>
    <row r="71" spans="2:19" x14ac:dyDescent="0.25">
      <c r="B71" s="60" t="s">
        <v>113</v>
      </c>
      <c r="C71" s="51" t="str" cm="1">
        <f t="array" ref="C71">_xll.BDP(B48, "RTG_MDY_ST_FC_DEBT","Fill=--")</f>
        <v>--</v>
      </c>
      <c r="D71" s="54" t="str" cm="1">
        <f t="array" ref="D71">_xll.BDP(B48, "RTG_MDY_ST_FC_RTG_DT","Fill=--")</f>
        <v>--</v>
      </c>
      <c r="F71" s="86">
        <v>2034</v>
      </c>
      <c r="G71" s="87">
        <v>20413</v>
      </c>
      <c r="I71" s="118">
        <v>49264</v>
      </c>
      <c r="J71" s="119">
        <v>133646.17800000001</v>
      </c>
      <c r="K71" s="120">
        <v>0</v>
      </c>
      <c r="M71" s="118">
        <v>42551</v>
      </c>
      <c r="N71" s="128">
        <v>15073852000</v>
      </c>
      <c r="Q71" t="str">
        <f>Debentures!C17</f>
        <v>CEAR23</v>
      </c>
      <c r="R71" t="str">
        <v>IGTA14</v>
      </c>
      <c r="S71" s="22" t="str">
        <f t="shared" si="0"/>
        <v>IGTA14 Corp</v>
      </c>
    </row>
    <row r="72" spans="2:19" x14ac:dyDescent="0.25">
      <c r="B72" s="60" t="s">
        <v>114</v>
      </c>
      <c r="C72" s="51" t="str" cm="1">
        <f t="array" ref="C72">_xll.BDP(B48, "RTG_MDY_ST_LC_DEBT","Fill=--")</f>
        <v>--</v>
      </c>
      <c r="D72" s="54" t="str" cm="1">
        <f t="array" ref="D72">_xll.BDP(B48, "RTG_MDY_ST_LC_RTG_DT","Fill=--")</f>
        <v>--</v>
      </c>
      <c r="F72" s="86">
        <v>2035</v>
      </c>
      <c r="G72" s="87">
        <v>313957</v>
      </c>
      <c r="I72" s="118">
        <v>49444</v>
      </c>
      <c r="J72" s="119">
        <v>133646.17800000001</v>
      </c>
      <c r="K72" s="120">
        <v>0</v>
      </c>
      <c r="M72" s="118">
        <v>42571</v>
      </c>
      <c r="N72" s="128">
        <v>15789298000</v>
      </c>
      <c r="Q72" t="str">
        <f>Debentures!C18</f>
        <v>FLRY11</v>
      </c>
      <c r="R72" t="str">
        <v>CMDT13</v>
      </c>
      <c r="S72" s="22" t="str">
        <f t="shared" si="0"/>
        <v>CMDT13 Corp</v>
      </c>
    </row>
    <row r="73" spans="2:19" x14ac:dyDescent="0.25">
      <c r="B73" s="60" t="s">
        <v>115</v>
      </c>
      <c r="C73" s="51" t="str" cm="1">
        <f t="array" ref="C73">_xll.BDP(B48, "RTG_MDY_PREFERRED","Fill=--")</f>
        <v>--</v>
      </c>
      <c r="D73" s="54" t="str" cm="1">
        <f t="array" ref="D73">_xll.BDP(B48, "RTG_MDY_PFD_RTG_DT","Fill=--")</f>
        <v>--</v>
      </c>
      <c r="F73" s="86">
        <v>2037</v>
      </c>
      <c r="G73" s="87">
        <v>9218</v>
      </c>
      <c r="I73" s="118">
        <v>49629</v>
      </c>
      <c r="J73" s="119">
        <v>133646.17800000001</v>
      </c>
      <c r="K73" s="120">
        <v>0</v>
      </c>
      <c r="M73" s="118">
        <v>42602</v>
      </c>
      <c r="N73" s="128">
        <v>18429548000</v>
      </c>
      <c r="Q73" t="str">
        <f>Debentures!C19</f>
        <v>FLRY21</v>
      </c>
      <c r="R73" t="str">
        <v>TSAE12</v>
      </c>
      <c r="S73" s="22" t="str">
        <f t="shared" si="0"/>
        <v>TSAE12 Corp</v>
      </c>
    </row>
    <row r="74" spans="2:19" x14ac:dyDescent="0.25">
      <c r="B74" s="60" t="s">
        <v>116</v>
      </c>
      <c r="C74" s="51" t="str" cm="1">
        <f t="array" ref="C74">_xll.BDP(B48, "RTG_MDY_BANK_FIN_STRENGTH","Fill=--")</f>
        <v>--</v>
      </c>
      <c r="D74" s="54" t="str" cm="1">
        <f t="array" ref="D74">_xll.BDP(B48, "RTG_MDY_BANK_FIN_STR_RTG_DT","Fill=--")</f>
        <v>--</v>
      </c>
      <c r="F74" s="86">
        <v>2038</v>
      </c>
      <c r="G74" s="87">
        <v>541</v>
      </c>
      <c r="I74" s="118">
        <v>49810</v>
      </c>
      <c r="J74" s="119">
        <v>133646.17800000001</v>
      </c>
      <c r="K74" s="120">
        <v>0</v>
      </c>
      <c r="M74" s="118">
        <v>42633</v>
      </c>
      <c r="N74" s="128">
        <v>17962572000</v>
      </c>
      <c r="Q74" t="str">
        <f>Debentures!C20</f>
        <v>BRTO18</v>
      </c>
      <c r="R74" t="str">
        <v>UNDA13</v>
      </c>
      <c r="S74" s="22" t="str">
        <f t="shared" si="0"/>
        <v>UNDA13 Corp</v>
      </c>
    </row>
    <row r="75" spans="2:19" x14ac:dyDescent="0.25">
      <c r="B75" s="60" t="s">
        <v>240</v>
      </c>
      <c r="C75" s="51" t="str" cm="1">
        <f t="array" ref="C75">_xll.BDP(B48, "RTG_MDY_NSR_ISSUER","Fill=--")</f>
        <v>--</v>
      </c>
      <c r="D75" s="54" t="str" cm="1">
        <f t="array" ref="D75">_xll.BDP(B48, "RTG_MDY_NSR_ISSUER_DT","Fill=--")</f>
        <v>--</v>
      </c>
      <c r="F75" s="86">
        <v>2039</v>
      </c>
      <c r="G75" s="87">
        <v>18</v>
      </c>
      <c r="I75" s="118">
        <v>49996</v>
      </c>
      <c r="J75" s="119">
        <v>133646.17800000001</v>
      </c>
      <c r="K75" s="120">
        <v>0</v>
      </c>
      <c r="M75" s="118">
        <v>42663</v>
      </c>
      <c r="N75" s="128">
        <v>19840392000</v>
      </c>
      <c r="Q75" t="str">
        <f>Debentures!C21</f>
        <v>GEPA13</v>
      </c>
      <c r="R75" t="str">
        <v>SBESC7</v>
      </c>
      <c r="S75" s="22" t="str">
        <f t="shared" si="0"/>
        <v>SBESC7 Corp</v>
      </c>
    </row>
    <row r="76" spans="2:19" x14ac:dyDescent="0.25">
      <c r="B76" s="61" t="s">
        <v>117</v>
      </c>
      <c r="C76" s="62"/>
      <c r="D76" s="63"/>
      <c r="F76" s="86">
        <v>2040</v>
      </c>
      <c r="G76" s="87">
        <v>123156</v>
      </c>
      <c r="I76" s="118">
        <v>50175</v>
      </c>
      <c r="J76" s="119">
        <v>133646.17800000001</v>
      </c>
      <c r="K76" s="120">
        <v>0</v>
      </c>
      <c r="M76" s="118">
        <v>42694</v>
      </c>
      <c r="N76" s="128">
        <v>18330272000</v>
      </c>
      <c r="Q76" t="str">
        <f>Debentures!C22</f>
        <v>IGTA13</v>
      </c>
      <c r="R76" t="str">
        <v>CMDT23</v>
      </c>
      <c r="S76" s="22" t="str">
        <f t="shared" si="0"/>
        <v>CMDT23 Corp</v>
      </c>
    </row>
    <row r="77" spans="2:19" x14ac:dyDescent="0.25">
      <c r="B77" s="60" t="str" cm="1">
        <f t="array" ref="B77">_xll.BDP(B48, "SECURITY_DES","Fill=--")</f>
        <v>BNTNB 6 05/15/55</v>
      </c>
      <c r="C77" s="51" t="str" cm="1">
        <f t="array" ref="C77">_xll.BDP(B48, "RTG_SP","Fill=--")</f>
        <v>BB</v>
      </c>
      <c r="D77" s="54" t="str" cm="1">
        <f t="array" ref="D77">_xll.BDP(B48, "SP_EFF_DT","Fill=--")</f>
        <v>12/19/2023</v>
      </c>
      <c r="F77" s="86">
        <v>2041</v>
      </c>
      <c r="G77" s="87">
        <v>12630</v>
      </c>
      <c r="I77" s="118">
        <v>50360</v>
      </c>
      <c r="J77" s="119">
        <v>133646.17800000001</v>
      </c>
      <c r="K77" s="120">
        <v>0</v>
      </c>
      <c r="M77" s="118">
        <v>42724</v>
      </c>
      <c r="N77" s="128">
        <v>19146536000</v>
      </c>
      <c r="Q77" t="str">
        <f>Debentures!C23</f>
        <v>LAME26</v>
      </c>
      <c r="R77" t="str">
        <v>CMDT33</v>
      </c>
      <c r="S77" s="22" t="str">
        <f t="shared" ref="S77:S140" si="1">IF(OR(R77=0,R77=""),"",R77&amp;" Corp")</f>
        <v>CMDT33 Corp</v>
      </c>
    </row>
    <row r="78" spans="2:19" x14ac:dyDescent="0.25">
      <c r="B78" s="60" t="s">
        <v>97</v>
      </c>
      <c r="C78" s="51" t="str" cm="1">
        <f t="array" ref="C78">_xll.BDP(B48, "RTG_SP_OUTLOOK","Fill=--")</f>
        <v>STABLE</v>
      </c>
      <c r="D78" s="54" t="str" cm="1">
        <f t="array" ref="D78">_xll.BDP(B48, "RTG_SP_OUTLOOK_DT","Fill=--")</f>
        <v>12/19/2023</v>
      </c>
      <c r="F78" s="86">
        <v>2042</v>
      </c>
      <c r="G78" s="87">
        <v>4230</v>
      </c>
      <c r="I78" s="118">
        <v>50542</v>
      </c>
      <c r="J78" s="119">
        <v>133646.17800000001</v>
      </c>
      <c r="K78" s="120">
        <v>0</v>
      </c>
      <c r="M78" s="118">
        <v>42755</v>
      </c>
      <c r="N78" s="128">
        <v>20857316000</v>
      </c>
      <c r="Q78" t="str">
        <f>Debentures!C24</f>
        <v>BRML12</v>
      </c>
      <c r="R78" t="str">
        <v>ECOV12</v>
      </c>
      <c r="S78" s="22" t="str">
        <f t="shared" si="1"/>
        <v>ECOV12 Corp</v>
      </c>
    </row>
    <row r="79" spans="2:19" x14ac:dyDescent="0.25">
      <c r="B79" s="60" t="s">
        <v>118</v>
      </c>
      <c r="C79" s="51" t="str" cm="1">
        <f t="array" ref="C79">_xll.BDP(B48, "RTG_SP_LT_FC_ISSUER_CREDIT","Fill=--")</f>
        <v>BB</v>
      </c>
      <c r="D79" s="54" t="str" cm="1">
        <f t="array" ref="D79">_xll.BDP(B48, "RTG_SP_LT_FC_ISS_CRED_RTG_DT","Fill=--")</f>
        <v>12/19/2023</v>
      </c>
      <c r="F79" s="86">
        <v>2045</v>
      </c>
      <c r="G79" s="87">
        <v>170674</v>
      </c>
      <c r="I79" s="118">
        <v>50725</v>
      </c>
      <c r="J79" s="119">
        <v>133646.17800000001</v>
      </c>
      <c r="K79" s="120">
        <v>0</v>
      </c>
      <c r="M79" s="118">
        <v>42786</v>
      </c>
      <c r="N79" s="128">
        <v>23300801000</v>
      </c>
      <c r="Q79" t="str">
        <f>Debentures!C25</f>
        <v>BRML22</v>
      </c>
      <c r="R79" t="str">
        <v>TFBR14</v>
      </c>
      <c r="S79" s="22" t="str">
        <f t="shared" si="1"/>
        <v>TFBR14 Corp</v>
      </c>
    </row>
    <row r="80" spans="2:19" x14ac:dyDescent="0.25">
      <c r="B80" s="60" t="s">
        <v>119</v>
      </c>
      <c r="C80" s="51" t="str" cm="1">
        <f t="array" ref="C80">_xll.BDP(B48, "RTG_SP_LT_LC_ISSUER_CREDIT","Fill=--")</f>
        <v>BB</v>
      </c>
      <c r="D80" s="54" t="str" cm="1">
        <f t="array" ref="D80">_xll.BDP(B48, "RTG_SP_LT_LC_ISS_CRED_RTG_DT","Fill=--")</f>
        <v>12/19/2023</v>
      </c>
      <c r="F80" s="86">
        <v>2047</v>
      </c>
      <c r="G80" s="87">
        <v>15732</v>
      </c>
      <c r="I80" s="118">
        <v>50906</v>
      </c>
      <c r="J80" s="119">
        <v>133646.17800000001</v>
      </c>
      <c r="K80" s="120">
        <v>0</v>
      </c>
      <c r="M80" s="118">
        <v>42814</v>
      </c>
      <c r="N80" s="128">
        <v>25539180000</v>
      </c>
      <c r="Q80" t="str">
        <f>Debentures!C26</f>
        <v>SBSPA5</v>
      </c>
      <c r="R80" t="str">
        <v>ECOV22</v>
      </c>
      <c r="S80" s="22" t="str">
        <f t="shared" si="1"/>
        <v>ECOV22 Corp</v>
      </c>
    </row>
    <row r="81" spans="2:19" x14ac:dyDescent="0.25">
      <c r="B81" s="60" t="s">
        <v>120</v>
      </c>
      <c r="C81" s="51" t="str" cm="1">
        <f t="array" ref="C81">_xll.BDP(B48, "RTG_SP_ST_FC_ISSUER_CREDIT","Fill=--")</f>
        <v>B</v>
      </c>
      <c r="D81" s="54" t="str" cm="1">
        <f t="array" ref="D81">_xll.BDP(B48, "RTG_SP_ST_FC_ISS_CRED_RTG_DT","Fill=--")</f>
        <v>9/9/2015</v>
      </c>
      <c r="F81" s="86">
        <v>2050</v>
      </c>
      <c r="G81" s="87">
        <v>226747</v>
      </c>
      <c r="I81" s="118">
        <v>51090</v>
      </c>
      <c r="J81" s="119">
        <v>133646.17800000001</v>
      </c>
      <c r="K81" s="120">
        <v>0</v>
      </c>
      <c r="M81" s="118">
        <v>42845</v>
      </c>
      <c r="N81" s="128">
        <v>26007839000</v>
      </c>
      <c r="Q81" t="str">
        <f>Debentures!C27</f>
        <v>SBSPB5</v>
      </c>
      <c r="R81" t="str">
        <v>RDCO14</v>
      </c>
      <c r="S81" s="22" t="str">
        <f t="shared" si="1"/>
        <v>RDCO14 Corp</v>
      </c>
    </row>
    <row r="82" spans="2:19" x14ac:dyDescent="0.25">
      <c r="B82" s="60" t="s">
        <v>121</v>
      </c>
      <c r="C82" s="51" t="str" cm="1">
        <f t="array" ref="C82">_xll.BDP(B48, "RTG_SP_ST_LC_ISSUER_CREDIT","Fill=--")</f>
        <v>B</v>
      </c>
      <c r="D82" s="54" t="str" cm="1">
        <f t="array" ref="D82">_xll.BDP(B48, "RTG_SP_ST_LC_ISS_CRED_RTG_DT","Fill=--")</f>
        <v>2/17/2016</v>
      </c>
      <c r="F82" s="86">
        <v>2054</v>
      </c>
      <c r="G82" s="87">
        <v>12690</v>
      </c>
      <c r="I82" s="118">
        <v>51271</v>
      </c>
      <c r="J82" s="119">
        <v>133646.17800000001</v>
      </c>
      <c r="K82" s="120">
        <v>0</v>
      </c>
      <c r="M82" s="118">
        <v>42875</v>
      </c>
      <c r="N82" s="128">
        <v>27112882000</v>
      </c>
      <c r="Q82" t="str">
        <f>Debentures!C28</f>
        <v>SULM11</v>
      </c>
      <c r="R82" t="str">
        <v>RDCO24</v>
      </c>
      <c r="S82" s="22" t="str">
        <f t="shared" si="1"/>
        <v>RDCO24 Corp</v>
      </c>
    </row>
    <row r="83" spans="2:19" x14ac:dyDescent="0.25">
      <c r="B83" s="60" t="s">
        <v>240</v>
      </c>
      <c r="C83" s="51" t="str" cm="1">
        <f t="array" ref="C83">_xll.BDP(B48, "RTG_SP_NATIONAL","Fill=--")</f>
        <v>brAAA</v>
      </c>
      <c r="D83" s="54" t="str" cm="1">
        <f t="array" ref="D83">_xll.BDP(B48, "RTG_SP_NATIONAL_DT","Fill=--")</f>
        <v>7/11/2018</v>
      </c>
      <c r="F83" s="86">
        <v>2055</v>
      </c>
      <c r="G83" s="87">
        <v>128268</v>
      </c>
      <c r="I83" s="118">
        <v>51456</v>
      </c>
      <c r="J83" s="119">
        <v>133646.17800000001</v>
      </c>
      <c r="K83" s="120">
        <v>0</v>
      </c>
      <c r="M83" s="118">
        <v>42906</v>
      </c>
      <c r="N83" s="128">
        <v>24358272000</v>
      </c>
      <c r="Q83" t="str">
        <f>Debentures!C29</f>
        <v>CSMG16</v>
      </c>
      <c r="R83" t="str">
        <v>RDCO34</v>
      </c>
      <c r="S83" s="22" t="str">
        <f t="shared" si="1"/>
        <v>RDCO34 Corp</v>
      </c>
    </row>
    <row r="84" spans="2:19" x14ac:dyDescent="0.25">
      <c r="B84" s="61" t="s">
        <v>122</v>
      </c>
      <c r="C84" s="62"/>
      <c r="D84" s="63"/>
      <c r="F84" s="86">
        <v>2060</v>
      </c>
      <c r="G84" s="87">
        <v>83840</v>
      </c>
      <c r="I84" s="118">
        <v>51636</v>
      </c>
      <c r="J84" s="119">
        <v>133646.17800000001</v>
      </c>
      <c r="K84" s="120">
        <v>0</v>
      </c>
      <c r="M84" s="118">
        <v>42936</v>
      </c>
      <c r="N84" s="128">
        <v>25804478000</v>
      </c>
      <c r="Q84" t="str">
        <f>Debentures!C30</f>
        <v>CSMG26</v>
      </c>
      <c r="R84" t="str">
        <v>TIET12</v>
      </c>
      <c r="S84" s="22" t="str">
        <f t="shared" si="1"/>
        <v>TIET12 Corp</v>
      </c>
    </row>
    <row r="85" spans="2:19" x14ac:dyDescent="0.25">
      <c r="B85" s="60" t="str" cm="1">
        <f t="array" ref="B85">_xll.BDP(B48, "SECURITY_DES","Fill=--")</f>
        <v>BNTNB 6 05/15/55</v>
      </c>
      <c r="C85" s="51" t="str" cm="1">
        <f t="array" ref="C85">_xll.BDP(B48, "RTG_FITCH","Fill=--")</f>
        <v>--</v>
      </c>
      <c r="D85" s="54" t="str" cm="1">
        <f t="array" ref="D85">_xll.BDP(B48, "FITCH_EFF_DT","Fill=--")</f>
        <v>--</v>
      </c>
      <c r="F85" s="86"/>
      <c r="G85" s="87"/>
      <c r="I85" s="118">
        <v>51823</v>
      </c>
      <c r="J85" s="119">
        <v>133646.17800000001</v>
      </c>
      <c r="K85" s="120">
        <v>0</v>
      </c>
      <c r="M85" s="118">
        <v>42967</v>
      </c>
      <c r="N85" s="128">
        <v>27383048000</v>
      </c>
      <c r="Q85" t="str">
        <f>Debentures!C31</f>
        <v>CMTR13</v>
      </c>
      <c r="R85" t="str">
        <v>GEPA14</v>
      </c>
      <c r="S85" s="22" t="str">
        <f t="shared" si="1"/>
        <v>GEPA14 Corp</v>
      </c>
    </row>
    <row r="86" spans="2:19" x14ac:dyDescent="0.25">
      <c r="B86" s="60" t="s">
        <v>97</v>
      </c>
      <c r="C86" s="51" t="str" cm="1">
        <f t="array" ref="C86">_xll.BDP(B48, "RTG_FITCH_OUTLOOK","Fill=--")</f>
        <v>STABLE</v>
      </c>
      <c r="D86" s="54" t="str" cm="1">
        <f t="array" ref="D86">_xll.BDP(B48, "RTG_FITCH_OUTLOOK DT","Fill=--")</f>
        <v>7/26/2023</v>
      </c>
      <c r="F86" s="86"/>
      <c r="G86" s="87"/>
      <c r="I86" s="118">
        <v>52001</v>
      </c>
      <c r="J86" s="119">
        <v>133646.17800000001</v>
      </c>
      <c r="K86" s="120">
        <v>0</v>
      </c>
      <c r="M86" s="118">
        <v>42998</v>
      </c>
      <c r="N86" s="128">
        <v>27980722000</v>
      </c>
      <c r="Q86" t="str">
        <f>Debentures!C32</f>
        <v>CCPE12</v>
      </c>
      <c r="R86" t="str">
        <v>JSML36</v>
      </c>
      <c r="S86" s="22" t="str">
        <f t="shared" si="1"/>
        <v>JSML36 Corp</v>
      </c>
    </row>
    <row r="87" spans="2:19" x14ac:dyDescent="0.25">
      <c r="B87" s="60" t="s">
        <v>101</v>
      </c>
      <c r="C87" s="51" t="str" cm="1">
        <f t="array" ref="C87">_xll.BDP(B48, "RTG_FITCH_SEN_UNSECURED","Fill=--")</f>
        <v>--</v>
      </c>
      <c r="D87" s="54" t="str" cm="1">
        <f t="array" ref="D87">_xll.BDP(B48, "RTG_FITCH_SEN_UNSEC_RTG_DT","Fill=--")</f>
        <v>--</v>
      </c>
      <c r="F87" s="86"/>
      <c r="G87" s="87"/>
      <c r="I87" s="118">
        <v>52187</v>
      </c>
      <c r="J87" s="119">
        <v>133646.17800000001</v>
      </c>
      <c r="K87" s="120">
        <v>0</v>
      </c>
      <c r="M87" s="118">
        <v>43028</v>
      </c>
      <c r="N87" s="128">
        <v>28795391000</v>
      </c>
      <c r="Q87" t="str">
        <f>Debentures!C33</f>
        <v>VOES14</v>
      </c>
      <c r="R87" t="str">
        <v>JSML26</v>
      </c>
      <c r="S87" s="22" t="str">
        <f t="shared" si="1"/>
        <v>JSML26 Corp</v>
      </c>
    </row>
    <row r="88" spans="2:19" x14ac:dyDescent="0.25">
      <c r="B88" s="60" t="s">
        <v>123</v>
      </c>
      <c r="C88" s="51" t="str" cm="1">
        <f t="array" ref="C88">_xll.BDP(B48, "RTG_FITCH_LT_ISSUER_DEFAULT","Fill=--")</f>
        <v>BB</v>
      </c>
      <c r="D88" s="54" t="str" cm="1">
        <f t="array" ref="D88">_xll.BDP(B48, "RTG_FITCH_LT_ISSUER_DFLT_RTG_DT","Fill=--")</f>
        <v>7/26/2023</v>
      </c>
      <c r="F88" s="86"/>
      <c r="G88" s="87"/>
      <c r="I88" s="118">
        <v>52366</v>
      </c>
      <c r="J88" s="119">
        <v>133646.17800000001</v>
      </c>
      <c r="K88" s="120">
        <v>0</v>
      </c>
      <c r="M88" s="118">
        <v>43059</v>
      </c>
      <c r="N88" s="128">
        <v>27145990000</v>
      </c>
      <c r="Q88" t="str">
        <f>Debentures!C34</f>
        <v>CMTR23</v>
      </c>
      <c r="R88" t="str">
        <v>JSML16</v>
      </c>
      <c r="S88" s="22" t="str">
        <f t="shared" si="1"/>
        <v>JSML16 Corp</v>
      </c>
    </row>
    <row r="89" spans="2:19" x14ac:dyDescent="0.25">
      <c r="B89" s="60" t="s">
        <v>124</v>
      </c>
      <c r="C89" s="51" t="str" cm="1">
        <f t="array" ref="C89">_xll.BDP(B48, "RTG_FITCH_ST_ISSUER_DEFAULT","Fill=--")</f>
        <v>B</v>
      </c>
      <c r="D89" s="54" t="str" cm="1">
        <f t="array" ref="D89">_xll.BDP(B48, "RTG_FITCH_ST_ISSUER_DFLT_RTG_DT","Fill=--")</f>
        <v>12/16/2015</v>
      </c>
      <c r="F89" s="86"/>
      <c r="G89" s="87"/>
      <c r="I89" s="118">
        <v>52551</v>
      </c>
      <c r="J89" s="119">
        <v>133646.17800000001</v>
      </c>
      <c r="K89" s="120">
        <v>0</v>
      </c>
      <c r="M89" s="118">
        <v>43089</v>
      </c>
      <c r="N89" s="128">
        <v>27402416000</v>
      </c>
      <c r="Q89" t="str">
        <f>Debentures!C35</f>
        <v>CMTR33</v>
      </c>
      <c r="R89" t="str">
        <v>RESA11</v>
      </c>
      <c r="S89" s="22" t="str">
        <f t="shared" si="1"/>
        <v>RESA11 Corp</v>
      </c>
    </row>
    <row r="90" spans="2:19" x14ac:dyDescent="0.25">
      <c r="B90" s="60" t="s">
        <v>125</v>
      </c>
      <c r="C90" s="51" t="str" cm="1">
        <f t="array" ref="C90">_xll.BDP(B48, "RTG_FITCH_LT_FC_ISSUER_DEFAULT","Fill=--")</f>
        <v>--</v>
      </c>
      <c r="D90" s="54" t="str" cm="1">
        <f t="array" ref="D90">_xll.BDP(B48, "RTG_FITCH_LT_FC_ISS_DFLT_RTG_DT","Fill=--")</f>
        <v>--</v>
      </c>
      <c r="F90" s="86"/>
      <c r="G90" s="87"/>
      <c r="I90" s="118">
        <v>52733</v>
      </c>
      <c r="J90" s="119">
        <v>133646.17800000001</v>
      </c>
      <c r="K90" s="120">
        <v>0</v>
      </c>
      <c r="M90" s="118">
        <v>43120</v>
      </c>
      <c r="N90" s="128">
        <v>28940311000</v>
      </c>
      <c r="Q90" t="str">
        <f>Debentures!C36</f>
        <v>PDGP17</v>
      </c>
      <c r="R90" t="str">
        <v>LRNE16</v>
      </c>
      <c r="S90" s="22" t="str">
        <f t="shared" si="1"/>
        <v>LRNE16 Corp</v>
      </c>
    </row>
    <row r="91" spans="2:19" x14ac:dyDescent="0.25">
      <c r="B91" s="60" t="s">
        <v>126</v>
      </c>
      <c r="C91" s="51" t="str" cm="1">
        <f t="array" ref="C91">_xll.BDP(B48, "RTG_FITCH_LT_LC_ISSUER_DEFAULT","Fill=--")</f>
        <v>BB</v>
      </c>
      <c r="D91" s="54" t="str" cm="1">
        <f t="array" ref="D91">_xll.BDP(B48, "RTG_FITCH_LT_LC_ISS_DFLT_RTG_DT","Fill=--")</f>
        <v>7/26/2023</v>
      </c>
      <c r="F91" s="86"/>
      <c r="G91" s="87"/>
      <c r="I91" s="118">
        <v>52917</v>
      </c>
      <c r="J91" s="119">
        <v>133646.17800000001</v>
      </c>
      <c r="K91" s="120">
        <v>0</v>
      </c>
      <c r="M91" s="118">
        <v>43151</v>
      </c>
      <c r="N91" s="128">
        <v>29676420000</v>
      </c>
      <c r="Q91" t="str">
        <f>Debentures!C37</f>
        <v>CTAP11</v>
      </c>
      <c r="R91" t="str">
        <v>TOWE12</v>
      </c>
      <c r="S91" s="22" t="str">
        <f t="shared" si="1"/>
        <v>TOWE12 Corp</v>
      </c>
    </row>
    <row r="92" spans="2:19" x14ac:dyDescent="0.25">
      <c r="B92" s="60" t="s">
        <v>127</v>
      </c>
      <c r="C92" s="51" t="str" cm="1">
        <f t="array" ref="C92">_xll.BDP(B48, "RTG_FITCH_ST_FC_ISSUER_DEFAULT","Fill=--")</f>
        <v>--</v>
      </c>
      <c r="D92" s="54" t="str" cm="1">
        <f t="array" ref="D92">_xll.BDP(B48, "RTG_FITCH_ST_FC_ISS_DFLT_RTG_DT","Fill=--")</f>
        <v>--</v>
      </c>
      <c r="F92" s="86"/>
      <c r="G92" s="87"/>
      <c r="I92" s="118">
        <v>53097</v>
      </c>
      <c r="J92" s="119">
        <v>133646.17800000001</v>
      </c>
      <c r="K92" s="120">
        <v>0</v>
      </c>
      <c r="M92" s="118">
        <v>43179</v>
      </c>
      <c r="N92" s="128">
        <v>30108366000</v>
      </c>
      <c r="Q92" t="str">
        <f>Debentures!C38</f>
        <v>ENGI25</v>
      </c>
      <c r="R92" t="str">
        <v>GASP13</v>
      </c>
      <c r="S92" s="22" t="str">
        <f t="shared" si="1"/>
        <v>GASP13 Corp</v>
      </c>
    </row>
    <row r="93" spans="2:19" x14ac:dyDescent="0.25">
      <c r="B93" s="60" t="s">
        <v>128</v>
      </c>
      <c r="C93" s="51" t="str" cm="1">
        <f t="array" ref="C93">_xll.BDP(B48, "RTG_FITCH_ST_LC_ISSUER_DEFAULT","Fill=--")</f>
        <v>B</v>
      </c>
      <c r="D93" s="54" t="str" cm="1">
        <f t="array" ref="D93">_xll.BDP(B48, "RTG_FITCH_ST_LC_ISS_DFLT_RTG_DT","Fill=--")</f>
        <v>7/22/2016</v>
      </c>
      <c r="F93" s="86"/>
      <c r="G93" s="87"/>
      <c r="I93" s="118">
        <v>53282</v>
      </c>
      <c r="J93" s="119">
        <v>133646.17800000001</v>
      </c>
      <c r="K93" s="120">
        <v>0</v>
      </c>
      <c r="M93" s="118">
        <v>43210</v>
      </c>
      <c r="N93" s="128">
        <v>31221240000</v>
      </c>
      <c r="Q93" t="str">
        <f>Debentures!C39</f>
        <v>BRPR11</v>
      </c>
      <c r="R93" t="str">
        <v>DASA14</v>
      </c>
      <c r="S93" s="22" t="str">
        <f t="shared" si="1"/>
        <v>DASA14 Corp</v>
      </c>
    </row>
    <row r="94" spans="2:19" x14ac:dyDescent="0.25">
      <c r="B94" s="60" t="s">
        <v>103</v>
      </c>
      <c r="C94" s="51" t="str" cm="1">
        <f t="array" ref="C94">_xll.BDP(B48, "RTG_FITCH_SUBORDINATED_DEBT","Fill=--")</f>
        <v>--</v>
      </c>
      <c r="D94" s="54" t="str" cm="1">
        <f t="array" ref="D94">_xll.BDP(B48, "RTG_FITCH_SUB_DEBT_RTG_DT","Fill=--")</f>
        <v>--</v>
      </c>
      <c r="F94" s="86"/>
      <c r="G94" s="87"/>
      <c r="I94" s="118">
        <v>53462</v>
      </c>
      <c r="J94" s="119">
        <v>133646.17800000001</v>
      </c>
      <c r="K94" s="120">
        <v>0</v>
      </c>
      <c r="M94" s="118">
        <v>43240</v>
      </c>
      <c r="N94" s="128">
        <v>30576107000</v>
      </c>
      <c r="Q94" t="str">
        <f>Debentures!C40</f>
        <v>RDVT11</v>
      </c>
      <c r="R94" t="str">
        <v>GASP23</v>
      </c>
      <c r="S94" s="22" t="str">
        <f t="shared" si="1"/>
        <v>GASP23 Corp</v>
      </c>
    </row>
    <row r="95" spans="2:19" x14ac:dyDescent="0.25">
      <c r="B95" s="60" t="s">
        <v>115</v>
      </c>
      <c r="C95" s="51" t="str" cm="1">
        <f t="array" ref="C95">_xll.BDP(B48, "RTG_FITCH_PREFERRED_STOCK","Fill=--")</f>
        <v>--</v>
      </c>
      <c r="D95" s="54" t="str" cm="1">
        <f t="array" ref="D95">_xll.BDP(B48, "RTG_FITCH_PFD_STOCK_RTG_DT","Fill=--")</f>
        <v>--</v>
      </c>
      <c r="F95" s="86"/>
      <c r="G95" s="87"/>
      <c r="I95" s="118">
        <v>53647</v>
      </c>
      <c r="J95" s="119">
        <v>133646.17800000001</v>
      </c>
      <c r="K95" s="120">
        <v>0</v>
      </c>
      <c r="M95" s="118">
        <v>43271</v>
      </c>
      <c r="N95" s="128">
        <v>29051638000</v>
      </c>
      <c r="Q95" t="str">
        <f>Debentures!C41</f>
        <v>LRNE15</v>
      </c>
      <c r="R95" t="str">
        <v>GASP33</v>
      </c>
      <c r="S95" s="22" t="str">
        <f t="shared" si="1"/>
        <v>GASP33 Corp</v>
      </c>
    </row>
    <row r="96" spans="2:19" x14ac:dyDescent="0.25">
      <c r="B96" s="60" t="s">
        <v>102</v>
      </c>
      <c r="C96" s="51" t="str" cm="1">
        <f t="array" ref="C96">_xll.BDP(B48, "RTG_FITCH_SHORT_TERM","Fill=--")</f>
        <v>--</v>
      </c>
      <c r="D96" s="54" t="str" cm="1">
        <f t="array" ref="D96">_xll.BDP(B48, "RTG_FITCH_ST_RTG_DT","Fill=--")</f>
        <v>--</v>
      </c>
      <c r="F96" s="86"/>
      <c r="G96" s="87"/>
      <c r="I96" s="118">
        <v>53827</v>
      </c>
      <c r="J96" s="119">
        <v>133646.17800000001</v>
      </c>
      <c r="K96" s="120">
        <v>0</v>
      </c>
      <c r="M96" s="118">
        <v>43294</v>
      </c>
      <c r="N96" s="128">
        <v>29589852000</v>
      </c>
      <c r="Q96" t="str">
        <f>Debentures!C42</f>
        <v>LRNE25</v>
      </c>
      <c r="R96" t="str">
        <v>SAPR13</v>
      </c>
      <c r="S96" s="22" t="str">
        <f t="shared" si="1"/>
        <v>SAPR13 Corp</v>
      </c>
    </row>
    <row r="97" spans="2:19" x14ac:dyDescent="0.25">
      <c r="B97" s="60" t="s">
        <v>111</v>
      </c>
      <c r="C97" s="51" t="str" cm="1">
        <f t="array" ref="C97">_xll.BDP(B48, "RTG_FITCH_LT_FC_DEBT","Fill=--")</f>
        <v>BB</v>
      </c>
      <c r="D97" s="54" t="str" cm="1">
        <f t="array" ref="D97">_xll.BDP(B48, "RTG_FITCH_LT_FC_DEBT_RTG_DT","Fill=--")</f>
        <v>7/26/2023</v>
      </c>
      <c r="F97" s="86"/>
      <c r="G97" s="87"/>
      <c r="I97" s="118">
        <v>54014</v>
      </c>
      <c r="J97" s="119">
        <v>133646.17800000001</v>
      </c>
      <c r="K97" s="120">
        <v>0</v>
      </c>
      <c r="M97" s="118">
        <v>43299</v>
      </c>
      <c r="N97" s="128">
        <v>29579044000</v>
      </c>
      <c r="Q97" t="str">
        <f>Debentures!C43</f>
        <v>MRSS15</v>
      </c>
      <c r="R97" t="str">
        <v>SAPR13</v>
      </c>
      <c r="S97" s="22" t="str">
        <f t="shared" si="1"/>
        <v>SAPR13 Corp</v>
      </c>
    </row>
    <row r="98" spans="2:19" x14ac:dyDescent="0.25">
      <c r="B98" s="60" t="s">
        <v>112</v>
      </c>
      <c r="C98" s="51" t="str" cm="1">
        <f t="array" ref="C98">_xll.BDP(B48, "RTG_FITCH_LT_LC_DEBT","Fill=--")</f>
        <v>BB</v>
      </c>
      <c r="D98" s="54" t="str" cm="1">
        <f t="array" ref="D98">_xll.BDP(B48, "RTG_FITCH_LT_LC_DEBT_RTG_DT","Fill=--")</f>
        <v>7/26/2023</v>
      </c>
      <c r="F98" s="86"/>
      <c r="G98" s="87"/>
      <c r="I98" s="118">
        <v>54193</v>
      </c>
      <c r="J98" s="119">
        <v>133646.17800000001</v>
      </c>
      <c r="K98" s="120">
        <v>0</v>
      </c>
      <c r="M98" s="118">
        <v>43300</v>
      </c>
      <c r="N98" s="128">
        <v>29601005000</v>
      </c>
      <c r="Q98" t="str">
        <f>Debentures!C44</f>
        <v>CANT32</v>
      </c>
      <c r="R98" t="str">
        <v>ANHB15</v>
      </c>
      <c r="S98" s="22" t="str">
        <f t="shared" si="1"/>
        <v>ANHB15 Corp</v>
      </c>
    </row>
    <row r="99" spans="2:19" x14ac:dyDescent="0.25">
      <c r="B99" s="60" t="s">
        <v>113</v>
      </c>
      <c r="C99" s="51" t="str" cm="1">
        <f t="array" ref="C99">_xll.BDP(B48, "RTG_FITCH_ST_DEBT_FC","Fill=--")</f>
        <v>B</v>
      </c>
      <c r="D99" s="54" t="str" cm="1">
        <f t="array" ref="D99">_xll.BDP(B48, "RTG_FITCH_ST_DEBT_FC_DT","Fill=--")</f>
        <v>12/16/2015</v>
      </c>
      <c r="F99" s="86"/>
      <c r="G99" s="87"/>
      <c r="I99" s="118">
        <v>54378</v>
      </c>
      <c r="J99" s="119">
        <v>133646.17800000001</v>
      </c>
      <c r="K99" s="120">
        <v>0</v>
      </c>
      <c r="M99" s="118">
        <v>43304</v>
      </c>
      <c r="N99" s="128">
        <v>29673477000</v>
      </c>
      <c r="Q99" t="str">
        <f>Debentures!C45</f>
        <v>ENGI15</v>
      </c>
      <c r="R99" t="str">
        <v>NRTB11</v>
      </c>
      <c r="S99" s="22" t="str">
        <f t="shared" si="1"/>
        <v>NRTB11 Corp</v>
      </c>
    </row>
    <row r="100" spans="2:19" x14ac:dyDescent="0.25">
      <c r="B100" s="60" t="s">
        <v>129</v>
      </c>
      <c r="C100" s="51" t="str" cm="1">
        <f t="array" ref="C100">_xll.BDP(B48, "RTG_FITCH_RECOVERY","Fill=--")</f>
        <v>--</v>
      </c>
      <c r="D100" s="54" t="str" cm="1">
        <f t="array" ref="D100">_xll.BDP(B48, "RTG_FITCH_RECOVERY_DT","Fill=--")</f>
        <v>--</v>
      </c>
      <c r="F100" s="86"/>
      <c r="G100" s="87"/>
      <c r="I100" s="118">
        <v>54560</v>
      </c>
      <c r="J100" s="119">
        <v>133646.17800000001</v>
      </c>
      <c r="K100" s="120">
        <v>0</v>
      </c>
      <c r="M100" s="118">
        <v>43305</v>
      </c>
      <c r="N100" s="128">
        <v>30024922000</v>
      </c>
      <c r="Q100" t="str">
        <f>Debentures!C46</f>
        <v>AMPL17</v>
      </c>
      <c r="R100" t="str">
        <v>RESA21</v>
      </c>
      <c r="S100" s="22" t="str">
        <f t="shared" si="1"/>
        <v>RESA21 Corp</v>
      </c>
    </row>
    <row r="101" spans="2:19" x14ac:dyDescent="0.25">
      <c r="B101" s="60" t="s">
        <v>130</v>
      </c>
      <c r="C101" s="51" t="str" cm="1">
        <f t="array" ref="C101">_xll.BDP(B48, "RTG_FITCH_INDIVIDUAL_RATING","Fill=--")</f>
        <v>--</v>
      </c>
      <c r="D101" s="54" t="str" cm="1">
        <f t="array" ref="D101">_xll.BDP(B48, "RTG_FITCH_INDIVIDUAL_RTG_DT","Fill=--")</f>
        <v>--</v>
      </c>
      <c r="F101" s="86"/>
      <c r="G101" s="87"/>
      <c r="I101" s="118">
        <v>54743</v>
      </c>
      <c r="J101" s="119">
        <v>133646.17800000001</v>
      </c>
      <c r="K101" s="120">
        <v>0</v>
      </c>
      <c r="M101" s="118">
        <v>43306</v>
      </c>
      <c r="N101" s="128">
        <v>30088576000</v>
      </c>
      <c r="Q101" t="str">
        <f>Debentures!C47</f>
        <v>BRPR21</v>
      </c>
      <c r="R101" t="str">
        <v>RESA31</v>
      </c>
      <c r="S101" s="22" t="str">
        <f t="shared" si="1"/>
        <v>RESA31 Corp</v>
      </c>
    </row>
    <row r="102" spans="2:19" x14ac:dyDescent="0.25">
      <c r="B102" s="60" t="s">
        <v>131</v>
      </c>
      <c r="C102" s="51" t="str" cm="1">
        <f t="array" ref="C102">_xll.BDP(B48, "RTG_FITCH_SUPPORT_RATING","Fill=--")</f>
        <v>--</v>
      </c>
      <c r="D102" s="54" t="str" cm="1">
        <f t="array" ref="D102">_xll.BDP(B48, "RTG_FITCH_SUPPORT_RTG_DT","Fill=--")</f>
        <v>--</v>
      </c>
      <c r="F102" s="86"/>
      <c r="G102" s="87"/>
      <c r="I102" s="118">
        <v>54924</v>
      </c>
      <c r="J102" s="119">
        <v>133646.17800000001</v>
      </c>
      <c r="K102" s="120">
        <v>0</v>
      </c>
      <c r="M102" s="118">
        <v>43308</v>
      </c>
      <c r="N102" s="128">
        <v>30354032000</v>
      </c>
      <c r="Q102" t="str">
        <f>Debentures!C48</f>
        <v>TAEE13</v>
      </c>
      <c r="R102" t="str">
        <v>ODTR11</v>
      </c>
      <c r="S102" s="22" t="str">
        <f t="shared" si="1"/>
        <v>ODTR11 Corp</v>
      </c>
    </row>
    <row r="103" spans="2:19" x14ac:dyDescent="0.25">
      <c r="B103" s="60" t="s">
        <v>240</v>
      </c>
      <c r="C103" s="51" t="str" cm="1">
        <f t="array" ref="C103">_xll.BDP(B48, "RTG_FITCH_NATIONAL","Fill=--")</f>
        <v>--</v>
      </c>
      <c r="D103" s="54" t="str" cm="1">
        <f t="array" ref="D103">_xll.BDP(B48, "RTG_FITCH_NATIONAL_DT","Fill=--")</f>
        <v>--</v>
      </c>
      <c r="F103" s="86"/>
      <c r="G103" s="87"/>
      <c r="I103" s="118">
        <v>55108</v>
      </c>
      <c r="J103" s="119">
        <v>133646.17800000001</v>
      </c>
      <c r="K103" s="120">
        <v>0</v>
      </c>
      <c r="M103" s="118">
        <v>43313</v>
      </c>
      <c r="N103" s="128">
        <v>30404322000</v>
      </c>
      <c r="Q103" t="str">
        <f>Debentures!C49</f>
        <v>ELSPA5</v>
      </c>
      <c r="R103" t="str">
        <v>TEPE11</v>
      </c>
      <c r="S103" s="22" t="str">
        <f t="shared" si="1"/>
        <v>TEPE11 Corp</v>
      </c>
    </row>
    <row r="104" spans="2:19" x14ac:dyDescent="0.25">
      <c r="B104" s="61" t="s">
        <v>132</v>
      </c>
      <c r="C104" s="62"/>
      <c r="D104" s="63"/>
      <c r="F104" s="86"/>
      <c r="G104" s="87"/>
      <c r="I104" s="118">
        <v>55288</v>
      </c>
      <c r="J104" s="119">
        <v>133646.17800000001</v>
      </c>
      <c r="K104" s="120">
        <v>0</v>
      </c>
      <c r="M104" s="118">
        <v>43314</v>
      </c>
      <c r="N104" s="128">
        <v>30380386000</v>
      </c>
      <c r="Q104" t="str">
        <f>Debentures!C50</f>
        <v>ECCR22</v>
      </c>
      <c r="R104" t="str">
        <v>TEPE21</v>
      </c>
      <c r="S104" s="22" t="str">
        <f t="shared" si="1"/>
        <v>TEPE21 Corp</v>
      </c>
    </row>
    <row r="105" spans="2:19" x14ac:dyDescent="0.25">
      <c r="B105" s="60" t="str" cm="1">
        <f t="array" ref="B105">_xll.BDP(B48, "SECURITY_DES","Fill=--")</f>
        <v>BNTNB 6 05/15/55</v>
      </c>
      <c r="C105" s="57" t="str" cm="1">
        <f t="array" ref="C105">_xll.BDP(B48, "RTG_RI","Fill=--")</f>
        <v>--</v>
      </c>
      <c r="D105" s="58" t="str" cm="1">
        <f t="array" ref="D105">_xll.BDP(B48, "RI_EFF_DT","Fill=--")</f>
        <v>--</v>
      </c>
      <c r="F105" s="86"/>
      <c r="G105" s="87"/>
      <c r="I105" s="118">
        <v>55473</v>
      </c>
      <c r="J105" s="119">
        <v>133646.17800000001</v>
      </c>
      <c r="K105" s="120">
        <v>0</v>
      </c>
      <c r="M105" s="118">
        <v>43315</v>
      </c>
      <c r="N105" s="128">
        <v>30384306000</v>
      </c>
      <c r="Q105" t="str">
        <f>Debentures!C51</f>
        <v>TPIS14</v>
      </c>
      <c r="R105" t="str">
        <v>TEPE31</v>
      </c>
      <c r="S105" s="22" t="str">
        <f t="shared" si="1"/>
        <v>TEPE31 Corp</v>
      </c>
    </row>
    <row r="106" spans="2:19" x14ac:dyDescent="0.25">
      <c r="B106" s="60" t="s">
        <v>97</v>
      </c>
      <c r="C106" s="57" t="str" cm="1">
        <f t="array" ref="C106">_xll.BDP(B48, "RTG_RI_OUTLOOK","Fill=--")</f>
        <v>--</v>
      </c>
      <c r="D106" s="58" t="str" cm="1">
        <f t="array" ref="D106">_xll.BDP(B48, "RTG_RI_OUTLOOK_DT","Fill=--")</f>
        <v>--</v>
      </c>
      <c r="F106" s="86"/>
      <c r="G106" s="87"/>
      <c r="I106" s="118">
        <v>55654</v>
      </c>
      <c r="J106" s="119">
        <v>133646.17800000001</v>
      </c>
      <c r="K106" s="120">
        <v>0</v>
      </c>
      <c r="M106" s="118">
        <v>43319</v>
      </c>
      <c r="N106" s="128">
        <v>30642781000</v>
      </c>
      <c r="Q106" t="str">
        <f>Debentures!C52</f>
        <v>ECCR32</v>
      </c>
      <c r="R106" t="str">
        <v>TEPE41</v>
      </c>
      <c r="S106" s="22" t="str">
        <f t="shared" si="1"/>
        <v>TEPE41 Corp</v>
      </c>
    </row>
    <row r="107" spans="2:19" x14ac:dyDescent="0.25">
      <c r="B107" s="60" t="s">
        <v>98</v>
      </c>
      <c r="C107" s="57" t="str" cm="1">
        <f t="array" ref="C107">_xll.BDP(B48, "RTG_RI_ISSUER_RATING","Fill=--")</f>
        <v>--</v>
      </c>
      <c r="D107" s="58" t="str" cm="1">
        <f t="array" ref="D107">_xll.BDP(B48, "RTG_RI_ISSUER_RTG_DT","Fill=--")</f>
        <v>--</v>
      </c>
      <c r="F107" s="86"/>
      <c r="G107" s="87"/>
      <c r="I107" s="118">
        <v>55841</v>
      </c>
      <c r="J107" s="119">
        <v>133646.17800000001</v>
      </c>
      <c r="K107" s="120">
        <v>0</v>
      </c>
      <c r="M107" s="118">
        <v>43320</v>
      </c>
      <c r="N107" s="128">
        <v>30470478000</v>
      </c>
      <c r="Q107" t="str">
        <f>Debentures!C53</f>
        <v>ECCR12</v>
      </c>
      <c r="R107" t="str">
        <v>OVTL13</v>
      </c>
      <c r="S107" s="22" t="str">
        <f t="shared" si="1"/>
        <v>OVTL13 Corp</v>
      </c>
    </row>
    <row r="108" spans="2:19" x14ac:dyDescent="0.25">
      <c r="B108" s="60" t="s">
        <v>133</v>
      </c>
      <c r="C108" s="57" t="str" cm="1">
        <f t="array" ref="C108">_xll.BDP(B48, "RTG_RI_SHORT_TERM_CREDIT_RATING","Fill=--")</f>
        <v>--</v>
      </c>
      <c r="D108" s="58" t="str" cm="1">
        <f t="array" ref="D108">_xll.BDP(B48, "RTG_RI_ST_CREDIT_RATING_DT","Fill=--")</f>
        <v>--</v>
      </c>
      <c r="F108" s="86"/>
      <c r="G108" s="87"/>
      <c r="I108" s="118">
        <v>56019</v>
      </c>
      <c r="J108" s="119">
        <v>133646.17800000001</v>
      </c>
      <c r="K108" s="120">
        <v>0</v>
      </c>
      <c r="M108" s="118">
        <v>43322</v>
      </c>
      <c r="N108" s="128">
        <v>30446150000</v>
      </c>
      <c r="Q108" t="str">
        <f>Debentures!C54</f>
        <v>ANHB14</v>
      </c>
      <c r="R108" t="str">
        <v>AVIA13</v>
      </c>
      <c r="S108" s="22" t="str">
        <f t="shared" si="1"/>
        <v>AVIA13 Corp</v>
      </c>
    </row>
    <row r="109" spans="2:19" x14ac:dyDescent="0.25">
      <c r="B109" s="60" t="s">
        <v>134</v>
      </c>
      <c r="C109" s="57" t="str" cm="1">
        <f t="array" ref="C109">_xll.BDP(B48, "RTG_RI_LT_FOREIGN_OUTLOOK","Fill=--")</f>
        <v>STABLE</v>
      </c>
      <c r="D109" s="58" t="str" cm="1">
        <f t="array" ref="D109">_xll.BDP(B48, "RTG_RI_LT_FOREIGN_OUTLOOK_DT","Fill=--")</f>
        <v>7/9/2024</v>
      </c>
      <c r="F109" s="86"/>
      <c r="G109" s="87"/>
      <c r="I109" s="118">
        <v>56205</v>
      </c>
      <c r="J109" s="119">
        <v>133646.17800000001</v>
      </c>
      <c r="K109" s="120">
        <v>0</v>
      </c>
      <c r="M109" s="118">
        <v>43327</v>
      </c>
      <c r="N109" s="128">
        <v>30990691000</v>
      </c>
      <c r="Q109" t="str">
        <f>Debentures!C55</f>
        <v>ANHB14</v>
      </c>
      <c r="R109" t="str">
        <v>VALE18</v>
      </c>
      <c r="S109" s="22" t="str">
        <f t="shared" si="1"/>
        <v>VALE18 Corp</v>
      </c>
    </row>
    <row r="110" spans="2:19" x14ac:dyDescent="0.25">
      <c r="B110" s="60" t="s">
        <v>135</v>
      </c>
      <c r="C110" s="57" t="str" cm="1">
        <f t="array" ref="C110">_xll.BDP(B48, "RTG_RI_LT_DOMESTIC_OUTLOOK","Fill=--")</f>
        <v>--</v>
      </c>
      <c r="D110" s="58" t="str" cm="1">
        <f t="array" ref="D110">_xll.BDP(B48, "RTG_RI_LT_DOMESTIC_OUTLOOK_DT","Fill=--")</f>
        <v>--</v>
      </c>
      <c r="F110" s="86"/>
      <c r="G110" s="87"/>
      <c r="I110" s="118">
        <v>56384</v>
      </c>
      <c r="J110" s="119">
        <v>133646.17800000001</v>
      </c>
      <c r="K110" s="120">
        <v>0</v>
      </c>
      <c r="M110" s="118">
        <v>43329</v>
      </c>
      <c r="N110" s="128">
        <v>31216700000</v>
      </c>
      <c r="Q110" t="str">
        <f>Debentures!C56</f>
        <v>TAEE23</v>
      </c>
      <c r="R110" t="str">
        <v>VALE28</v>
      </c>
      <c r="S110" s="22" t="str">
        <f t="shared" si="1"/>
        <v>VALE28 Corp</v>
      </c>
    </row>
    <row r="111" spans="2:19" x14ac:dyDescent="0.25">
      <c r="B111" s="60" t="s">
        <v>136</v>
      </c>
      <c r="C111" s="57" t="str" cm="1">
        <f t="array" ref="C111">_xll.BDP(B48, "RTG_RI_FC_ISSUER_RATING","Fill=--")</f>
        <v>BBB-</v>
      </c>
      <c r="D111" s="58" t="str" cm="1">
        <f t="array" ref="D111">_xll.BDP(B48, "RTG_RI_FC_ISSUER_RATING_DT","Fill=--")</f>
        <v>7/9/2024</v>
      </c>
      <c r="F111" s="86"/>
      <c r="G111" s="87"/>
      <c r="I111" s="118">
        <v>56569</v>
      </c>
      <c r="J111" s="119">
        <v>133646.17800000001</v>
      </c>
      <c r="K111" s="120">
        <v>0</v>
      </c>
      <c r="M111" s="118">
        <v>43333</v>
      </c>
      <c r="N111" s="128">
        <v>30872663000</v>
      </c>
      <c r="Q111" t="str">
        <f>Debentures!C57</f>
        <v>TAEE33</v>
      </c>
      <c r="R111" t="str">
        <v>VALE48</v>
      </c>
      <c r="S111" s="22" t="str">
        <f t="shared" si="1"/>
        <v>VALE48 Corp</v>
      </c>
    </row>
    <row r="112" spans="2:19" x14ac:dyDescent="0.25">
      <c r="B112" s="60" t="s">
        <v>137</v>
      </c>
      <c r="C112" s="57" t="str" cm="1">
        <f t="array" ref="C112">_xll.BDP(B48, "RTG_RI_DOMESTIC_ISSUER_RATING","Fill=--")</f>
        <v>--</v>
      </c>
      <c r="D112" s="58" t="str" cm="1">
        <f t="array" ref="D112">_xll.BDP(B48, "RTG_RI_DOMESTIC_ISSUER_RTG_DATE","Fill=--")</f>
        <v>--</v>
      </c>
      <c r="F112" s="88"/>
      <c r="G112" s="89"/>
      <c r="I112" s="118">
        <v>56751</v>
      </c>
      <c r="J112" s="119">
        <v>133646.17800000001</v>
      </c>
      <c r="K112" s="120">
        <v>4520722.9550000001</v>
      </c>
      <c r="M112" s="118">
        <v>43334</v>
      </c>
      <c r="N112" s="128">
        <v>30300032000</v>
      </c>
      <c r="Q112" t="str">
        <f>Debentures!C58</f>
        <v>ALGA22</v>
      </c>
      <c r="R112" t="str">
        <v>STEN13</v>
      </c>
      <c r="S112" s="22" t="str">
        <f t="shared" si="1"/>
        <v>STEN13 Corp</v>
      </c>
    </row>
    <row r="113" spans="2:19" x14ac:dyDescent="0.25">
      <c r="B113" s="61" t="s">
        <v>138</v>
      </c>
      <c r="C113" s="62"/>
      <c r="D113" s="63"/>
      <c r="F113" s="90"/>
      <c r="G113" s="91"/>
      <c r="I113" s="118"/>
      <c r="J113" s="119"/>
      <c r="K113" s="120"/>
      <c r="M113" s="118">
        <v>43336</v>
      </c>
      <c r="N113" s="128">
        <v>31435207000</v>
      </c>
      <c r="Q113" t="str">
        <f>Debentures!C59</f>
        <v>CART12</v>
      </c>
      <c r="R113" t="str">
        <v>VALE38</v>
      </c>
      <c r="S113" s="22" t="str">
        <f t="shared" si="1"/>
        <v>VALE38 Corp</v>
      </c>
    </row>
    <row r="114" spans="2:19" x14ac:dyDescent="0.25">
      <c r="B114" s="60" t="s">
        <v>97</v>
      </c>
      <c r="C114" s="51" t="str" cm="1">
        <f t="array" ref="C114">_xll.BDP(B48, "RTG_JCR_OUTLOOK","Fill=--")</f>
        <v>STABLE</v>
      </c>
      <c r="D114" s="54" t="str" cm="1">
        <f t="array" ref="D114">_xll.BDP(B48, "RTG_JCR_OUTLOOK_DT","Fill=--")</f>
        <v>5/16/2025</v>
      </c>
      <c r="F114" s="90"/>
      <c r="G114" s="91"/>
      <c r="I114" s="118"/>
      <c r="J114" s="119"/>
      <c r="K114" s="120"/>
      <c r="M114" s="118">
        <v>43339</v>
      </c>
      <c r="N114" s="128">
        <v>31199216000</v>
      </c>
      <c r="Q114" t="str">
        <f>Debentures!C60</f>
        <v>SBESA7</v>
      </c>
      <c r="R114" t="str">
        <v>MDNE14</v>
      </c>
      <c r="S114" s="22" t="str">
        <f t="shared" si="1"/>
        <v>MDNE14 Corp</v>
      </c>
    </row>
    <row r="115" spans="2:19" x14ac:dyDescent="0.25">
      <c r="B115" s="60" t="s">
        <v>139</v>
      </c>
      <c r="C115" s="51" t="str" cm="1">
        <f t="array" ref="C115">_xll.BDP(B48, "RTG_JCR_SENIOR_DEBT","Fill=--")</f>
        <v>--</v>
      </c>
      <c r="D115" s="54" t="str" cm="1">
        <f t="array" ref="D115">_xll.BDP(B48, "RTG_JCR_SEN_RTG_DT","Fill=--")</f>
        <v>--</v>
      </c>
      <c r="F115" s="90"/>
      <c r="G115" s="91"/>
      <c r="I115" s="118"/>
      <c r="J115" s="119"/>
      <c r="K115" s="120"/>
      <c r="M115" s="118">
        <v>43340</v>
      </c>
      <c r="N115" s="128">
        <v>31439770000</v>
      </c>
      <c r="Q115" t="str">
        <f>Debentures!C61</f>
        <v>SBESB7</v>
      </c>
      <c r="R115" t="str">
        <v>STEN23</v>
      </c>
      <c r="S115" s="22" t="str">
        <f t="shared" si="1"/>
        <v>STEN23 Corp</v>
      </c>
    </row>
    <row r="116" spans="2:19" x14ac:dyDescent="0.25">
      <c r="B116" s="61" t="s">
        <v>140</v>
      </c>
      <c r="C116" s="62"/>
      <c r="D116" s="63"/>
      <c r="F116" s="90"/>
      <c r="G116" s="91"/>
      <c r="I116" s="118"/>
      <c r="J116" s="119"/>
      <c r="K116" s="120"/>
      <c r="M116" s="118">
        <v>43342</v>
      </c>
      <c r="N116" s="128">
        <v>31221912000</v>
      </c>
      <c r="Q116" t="str">
        <f>Debentures!C62</f>
        <v>TSAE22</v>
      </c>
      <c r="R116" t="str">
        <v>AGRU11</v>
      </c>
      <c r="S116" s="22" t="str">
        <f t="shared" si="1"/>
        <v>AGRU11 Corp</v>
      </c>
    </row>
    <row r="117" spans="2:19" x14ac:dyDescent="0.25">
      <c r="B117" s="59" t="str" cm="1">
        <f t="array" ref="B117">_xll.BDP(B48, "SECURITY_DES","Fill=--")</f>
        <v>BNTNB 6 05/15/55</v>
      </c>
      <c r="C117" s="55" t="str" cm="1">
        <f t="array" ref="C117">_xll.BDP(B48, "BB_COMPOSITE","Fill=--")</f>
        <v>BB</v>
      </c>
      <c r="D117" s="56" t="str" cm="1">
        <f t="array" ref="D117">_xll.BDP(B48, "COMPOSITE_EFF_DT","Fill=--")</f>
        <v>10/1/2024</v>
      </c>
      <c r="F117" s="90"/>
      <c r="G117" s="91"/>
      <c r="I117" s="118"/>
      <c r="J117" s="119"/>
      <c r="K117" s="120"/>
      <c r="M117" s="118">
        <v>43346</v>
      </c>
      <c r="N117" s="128">
        <v>30976692000</v>
      </c>
      <c r="Q117" t="str">
        <f>Debentures!C63</f>
        <v>IGTA24</v>
      </c>
      <c r="R117" t="str">
        <v/>
      </c>
      <c r="S117" s="22" t="str">
        <f t="shared" si="1"/>
        <v/>
      </c>
    </row>
    <row r="118" spans="2:19" x14ac:dyDescent="0.25">
      <c r="C118"/>
      <c r="F118" s="90"/>
      <c r="G118" s="91"/>
      <c r="I118" s="118"/>
      <c r="J118" s="119"/>
      <c r="K118" s="120"/>
      <c r="M118" s="118">
        <v>43347</v>
      </c>
      <c r="N118" s="128">
        <v>30817846000</v>
      </c>
      <c r="Q118" t="str">
        <f>Debentures!C64</f>
        <v>CART22</v>
      </c>
      <c r="R118" t="str">
        <v/>
      </c>
      <c r="S118" s="22" t="str">
        <f t="shared" si="1"/>
        <v/>
      </c>
    </row>
    <row r="119" spans="2:19" x14ac:dyDescent="0.25">
      <c r="C119"/>
      <c r="F119" s="90"/>
      <c r="G119" s="91"/>
      <c r="I119" s="118"/>
      <c r="J119" s="119"/>
      <c r="K119" s="120"/>
      <c r="M119" s="118">
        <v>43348</v>
      </c>
      <c r="N119" s="128">
        <v>30692646000</v>
      </c>
      <c r="Q119" t="str">
        <f>Debentures!C65</f>
        <v>IGTA14</v>
      </c>
      <c r="R119" t="str">
        <v/>
      </c>
      <c r="S119" s="22" t="str">
        <f t="shared" si="1"/>
        <v/>
      </c>
    </row>
    <row r="120" spans="2:19" x14ac:dyDescent="0.25">
      <c r="C120"/>
      <c r="F120" s="90"/>
      <c r="G120" s="91"/>
      <c r="I120" s="118"/>
      <c r="J120" s="119"/>
      <c r="K120" s="120"/>
      <c r="M120" s="118">
        <v>43349</v>
      </c>
      <c r="N120" s="128">
        <v>30918838000</v>
      </c>
      <c r="Q120" t="str">
        <f>Debentures!C66</f>
        <v>CMDT13</v>
      </c>
      <c r="R120" t="str">
        <v/>
      </c>
      <c r="S120" s="22" t="str">
        <f t="shared" si="1"/>
        <v/>
      </c>
    </row>
    <row r="121" spans="2:19" x14ac:dyDescent="0.25">
      <c r="B121" s="33"/>
      <c r="C121" s="34"/>
      <c r="D121" s="35"/>
      <c r="F121" s="90"/>
      <c r="G121" s="91"/>
      <c r="I121" s="118"/>
      <c r="J121" s="119"/>
      <c r="K121" s="120"/>
      <c r="M121" s="118">
        <v>43354</v>
      </c>
      <c r="N121" s="128">
        <v>31076506000</v>
      </c>
      <c r="Q121" t="str">
        <f>Debentures!C67</f>
        <v>TSAE12</v>
      </c>
      <c r="R121" t="str">
        <v/>
      </c>
      <c r="S121" s="22" t="str">
        <f t="shared" si="1"/>
        <v/>
      </c>
    </row>
    <row r="122" spans="2:19" x14ac:dyDescent="0.25">
      <c r="B122" s="5"/>
      <c r="C122" s="36"/>
      <c r="D122" s="36"/>
      <c r="F122" s="90"/>
      <c r="G122" s="91"/>
      <c r="I122" s="118"/>
      <c r="J122" s="119"/>
      <c r="K122" s="120"/>
      <c r="M122" s="118">
        <v>43355</v>
      </c>
      <c r="N122" s="128">
        <v>30939859000</v>
      </c>
      <c r="Q122" t="str">
        <f>Debentures!C68</f>
        <v>UNDA13</v>
      </c>
      <c r="R122" t="str">
        <v/>
      </c>
      <c r="S122" s="22" t="str">
        <f t="shared" si="1"/>
        <v/>
      </c>
    </row>
    <row r="123" spans="2:19" x14ac:dyDescent="0.25">
      <c r="C123"/>
      <c r="F123" s="90"/>
      <c r="G123" s="91"/>
      <c r="I123" s="118"/>
      <c r="J123" s="119"/>
      <c r="K123" s="120"/>
      <c r="M123" s="118">
        <v>43356</v>
      </c>
      <c r="N123" s="128">
        <v>31059177000</v>
      </c>
      <c r="Q123" t="str">
        <f>Debentures!C69</f>
        <v>SBESC7</v>
      </c>
      <c r="R123" t="str">
        <v/>
      </c>
      <c r="S123" s="22" t="str">
        <f t="shared" si="1"/>
        <v/>
      </c>
    </row>
    <row r="124" spans="2:19" x14ac:dyDescent="0.25">
      <c r="C124"/>
      <c r="F124" s="90"/>
      <c r="G124" s="91"/>
      <c r="I124" s="118"/>
      <c r="J124" s="119"/>
      <c r="K124" s="120"/>
      <c r="M124" s="118">
        <v>43360</v>
      </c>
      <c r="N124" s="128">
        <v>30887509000</v>
      </c>
      <c r="Q124" t="str">
        <f>Debentures!C70</f>
        <v>CMDT23</v>
      </c>
      <c r="R124" t="str">
        <v/>
      </c>
      <c r="S124" s="22" t="str">
        <f t="shared" si="1"/>
        <v/>
      </c>
    </row>
    <row r="125" spans="2:19" x14ac:dyDescent="0.25">
      <c r="F125" s="90"/>
      <c r="G125" s="91"/>
      <c r="I125" s="118"/>
      <c r="J125" s="119"/>
      <c r="K125" s="120"/>
      <c r="M125" s="118">
        <v>43361</v>
      </c>
      <c r="N125" s="128">
        <v>31027745000</v>
      </c>
      <c r="Q125" t="str">
        <f>Debentures!C71</f>
        <v>CMDT33</v>
      </c>
      <c r="R125" t="str">
        <v/>
      </c>
      <c r="S125" s="22" t="str">
        <f t="shared" si="1"/>
        <v/>
      </c>
    </row>
    <row r="126" spans="2:19" x14ac:dyDescent="0.25">
      <c r="F126" s="90"/>
      <c r="G126" s="91"/>
      <c r="I126" s="118"/>
      <c r="J126" s="119"/>
      <c r="K126" s="120"/>
      <c r="M126" s="118">
        <v>43362</v>
      </c>
      <c r="N126" s="128">
        <v>30981608000</v>
      </c>
      <c r="Q126" t="str">
        <f>Debentures!C72</f>
        <v>ECOV12</v>
      </c>
      <c r="R126" t="str">
        <v/>
      </c>
      <c r="S126" s="22" t="str">
        <f t="shared" si="1"/>
        <v/>
      </c>
    </row>
    <row r="127" spans="2:19" x14ac:dyDescent="0.25">
      <c r="F127" s="90"/>
      <c r="G127" s="91"/>
      <c r="I127" s="118"/>
      <c r="J127" s="119"/>
      <c r="K127" s="120"/>
      <c r="M127" s="118">
        <v>43363</v>
      </c>
      <c r="N127" s="128">
        <v>31169973000</v>
      </c>
      <c r="Q127" t="str">
        <f>Debentures!C73</f>
        <v>TFBR14</v>
      </c>
      <c r="R127" t="str">
        <v/>
      </c>
      <c r="S127" s="22" t="str">
        <f t="shared" si="1"/>
        <v/>
      </c>
    </row>
    <row r="128" spans="2:19" x14ac:dyDescent="0.25">
      <c r="F128" s="90"/>
      <c r="G128" s="91"/>
      <c r="I128" s="118"/>
      <c r="J128" s="119"/>
      <c r="K128" s="120"/>
      <c r="M128" s="118">
        <v>43364</v>
      </c>
      <c r="N128" s="128">
        <v>31195690000</v>
      </c>
      <c r="Q128" t="str">
        <f>Debentures!C74</f>
        <v>ECOV22</v>
      </c>
      <c r="R128" t="str">
        <v/>
      </c>
      <c r="S128" s="22" t="str">
        <f t="shared" si="1"/>
        <v/>
      </c>
    </row>
    <row r="129" spans="2:19" x14ac:dyDescent="0.25">
      <c r="F129" s="90"/>
      <c r="G129" s="91"/>
      <c r="I129" s="118"/>
      <c r="J129" s="119"/>
      <c r="K129" s="120"/>
      <c r="M129" s="118">
        <v>43368</v>
      </c>
      <c r="N129" s="128">
        <v>31192395000</v>
      </c>
      <c r="Q129" t="str">
        <f>Debentures!C75</f>
        <v>RDCO14</v>
      </c>
      <c r="R129" t="str">
        <v/>
      </c>
      <c r="S129" s="22" t="str">
        <f t="shared" si="1"/>
        <v/>
      </c>
    </row>
    <row r="130" spans="2:19" x14ac:dyDescent="0.25">
      <c r="F130" s="92"/>
      <c r="G130" s="93"/>
      <c r="I130" s="121"/>
      <c r="J130" s="122"/>
      <c r="K130" s="123"/>
      <c r="M130" s="118">
        <v>43369</v>
      </c>
      <c r="N130" s="128">
        <v>31084900000</v>
      </c>
      <c r="Q130" t="str">
        <f>Debentures!C76</f>
        <v>RDCO24</v>
      </c>
      <c r="R130" t="str">
        <v/>
      </c>
      <c r="S130" s="22" t="str">
        <f t="shared" si="1"/>
        <v/>
      </c>
    </row>
    <row r="131" spans="2:19" x14ac:dyDescent="0.25">
      <c r="F131" s="37"/>
      <c r="I131" s="111"/>
      <c r="J131" s="112"/>
      <c r="K131" s="113"/>
      <c r="M131" s="118">
        <v>43370</v>
      </c>
      <c r="N131" s="128">
        <v>31106085000</v>
      </c>
      <c r="Q131" t="str">
        <f>Debentures!C77</f>
        <v>RDCO34</v>
      </c>
      <c r="R131" t="str">
        <v/>
      </c>
      <c r="S131" s="22" t="str">
        <f t="shared" si="1"/>
        <v/>
      </c>
    </row>
    <row r="132" spans="2:19" x14ac:dyDescent="0.25">
      <c r="F132" s="37"/>
      <c r="M132" s="118">
        <v>43371</v>
      </c>
      <c r="N132" s="128">
        <v>31209155000</v>
      </c>
      <c r="Q132" t="str">
        <f>Debentures!C78</f>
        <v>TIET12</v>
      </c>
      <c r="R132" t="str">
        <v/>
      </c>
      <c r="S132" s="22" t="str">
        <f t="shared" si="1"/>
        <v/>
      </c>
    </row>
    <row r="133" spans="2:19" x14ac:dyDescent="0.25">
      <c r="B133" s="313" t="s">
        <v>384</v>
      </c>
      <c r="C133" s="314"/>
      <c r="D133" s="314"/>
      <c r="E133" s="314"/>
      <c r="F133" s="314"/>
      <c r="G133" s="314"/>
      <c r="H133" s="314"/>
      <c r="I133" s="315"/>
      <c r="M133" s="118">
        <v>43375</v>
      </c>
      <c r="N133" s="128">
        <v>31217577000</v>
      </c>
      <c r="Q133" t="str">
        <f>Debentures!C79</f>
        <v>GEPA14</v>
      </c>
      <c r="R133" t="str">
        <v/>
      </c>
      <c r="S133" s="22" t="str">
        <f t="shared" si="1"/>
        <v/>
      </c>
    </row>
    <row r="134" spans="2:19" x14ac:dyDescent="0.25">
      <c r="B134" s="299" t="str" cm="1">
        <f t="array" ref="B134:I135">_xll.BDS($B$6,"ISSUE_UNDERWRITER","Headers=y","FILL=Only available for debentures")</f>
        <v>Underwriter Category</v>
      </c>
      <c r="C134" s="290" t="str">
        <v>Lead Manager Name</v>
      </c>
      <c r="D134" s="291" t="str">
        <v>Lead Manager Short Code</v>
      </c>
      <c r="E134" s="291" t="str">
        <v>Underwriter Type Code</v>
      </c>
      <c r="F134" s="292" t="str">
        <v>Underwriter Type Name</v>
      </c>
      <c r="G134" s="291" t="str">
        <v>Underwriter Amount</v>
      </c>
      <c r="H134" s="293" t="str">
        <v>Group Type</v>
      </c>
      <c r="I134" s="341" t="str">
        <v>Effective Date</v>
      </c>
      <c r="M134" s="118">
        <v>43376</v>
      </c>
      <c r="N134" s="128">
        <v>31571702000</v>
      </c>
      <c r="Q134" t="str">
        <f>Debentures!C80</f>
        <v>JSML36</v>
      </c>
      <c r="R134" t="str">
        <v/>
      </c>
      <c r="S134" s="22" t="str">
        <f t="shared" si="1"/>
        <v/>
      </c>
    </row>
    <row r="135" spans="2:19" x14ac:dyDescent="0.25">
      <c r="B135" s="90" t="str">
        <v>Bookrunner</v>
      </c>
      <c r="C135" s="295" t="str">
        <v>Not Available</v>
      </c>
      <c r="D135" s="294" t="str">
        <v>N/A</v>
      </c>
      <c r="E135" s="294" t="str">
        <v>LMGR</v>
      </c>
      <c r="F135" s="296" t="str">
        <v>Lead Manager(s)</v>
      </c>
      <c r="G135" s="297">
        <v>0</v>
      </c>
      <c r="H135" s="298">
        <v>1</v>
      </c>
      <c r="I135" s="300">
        <v>42017</v>
      </c>
      <c r="M135" s="118">
        <v>43377</v>
      </c>
      <c r="N135" s="128">
        <v>32245307000</v>
      </c>
      <c r="Q135" t="str">
        <f>Debentures!C81</f>
        <v>JSML26</v>
      </c>
      <c r="R135" t="str">
        <v/>
      </c>
      <c r="S135" s="22" t="str">
        <f t="shared" si="1"/>
        <v/>
      </c>
    </row>
    <row r="136" spans="2:19" x14ac:dyDescent="0.25">
      <c r="B136" s="90"/>
      <c r="C136" s="295"/>
      <c r="D136" s="294"/>
      <c r="E136" s="294"/>
      <c r="F136" s="296"/>
      <c r="G136" s="297"/>
      <c r="H136" s="298"/>
      <c r="I136" s="300"/>
      <c r="M136" s="118">
        <v>43378</v>
      </c>
      <c r="N136" s="128">
        <v>32610312000</v>
      </c>
      <c r="Q136" t="str">
        <f>Debentures!C82</f>
        <v>JSML16</v>
      </c>
      <c r="R136" t="str">
        <v/>
      </c>
      <c r="S136" s="22" t="str">
        <f t="shared" si="1"/>
        <v/>
      </c>
    </row>
    <row r="137" spans="2:19" x14ac:dyDescent="0.25">
      <c r="B137" s="90"/>
      <c r="C137" s="295"/>
      <c r="D137" s="294"/>
      <c r="E137" s="294"/>
      <c r="F137" s="296"/>
      <c r="G137" s="297"/>
      <c r="H137" s="298"/>
      <c r="I137" s="300"/>
      <c r="M137" s="118">
        <v>43383</v>
      </c>
      <c r="N137" s="128">
        <v>34303375000</v>
      </c>
      <c r="Q137" t="str">
        <f>Debentures!C83</f>
        <v>RESA11</v>
      </c>
      <c r="R137" t="str">
        <v/>
      </c>
      <c r="S137" s="22" t="str">
        <f t="shared" si="1"/>
        <v/>
      </c>
    </row>
    <row r="138" spans="2:19" x14ac:dyDescent="0.25">
      <c r="B138" s="90"/>
      <c r="C138" s="295"/>
      <c r="D138" s="294"/>
      <c r="E138" s="294"/>
      <c r="F138" s="296"/>
      <c r="G138" s="297"/>
      <c r="H138" s="298"/>
      <c r="I138" s="300"/>
      <c r="M138" s="118">
        <v>43389</v>
      </c>
      <c r="N138" s="128">
        <v>34576826000</v>
      </c>
      <c r="Q138" t="str">
        <f>Debentures!C84</f>
        <v>LRNE16</v>
      </c>
      <c r="R138" t="str">
        <v/>
      </c>
      <c r="S138" s="22" t="str">
        <f t="shared" si="1"/>
        <v/>
      </c>
    </row>
    <row r="139" spans="2:19" x14ac:dyDescent="0.25">
      <c r="B139" s="90"/>
      <c r="C139" s="295"/>
      <c r="D139" s="294"/>
      <c r="E139" s="294"/>
      <c r="F139" s="296"/>
      <c r="G139" s="297"/>
      <c r="H139" s="298"/>
      <c r="I139" s="300"/>
      <c r="M139" s="118">
        <v>43390</v>
      </c>
      <c r="N139" s="128">
        <v>34997062000</v>
      </c>
      <c r="Q139" t="str">
        <f>Debentures!C85</f>
        <v>TOWE12</v>
      </c>
      <c r="R139" t="str">
        <v/>
      </c>
      <c r="S139" s="22" t="str">
        <f t="shared" si="1"/>
        <v/>
      </c>
    </row>
    <row r="140" spans="2:19" x14ac:dyDescent="0.25">
      <c r="B140" s="90"/>
      <c r="C140" s="295"/>
      <c r="D140" s="294"/>
      <c r="E140" s="294"/>
      <c r="F140" s="296"/>
      <c r="G140" s="297"/>
      <c r="H140" s="298"/>
      <c r="I140" s="300"/>
      <c r="M140" s="118">
        <v>43391</v>
      </c>
      <c r="N140" s="128">
        <v>35533977000</v>
      </c>
      <c r="Q140" t="str">
        <f>Debentures!C86</f>
        <v>GASP13</v>
      </c>
      <c r="R140" t="str">
        <v/>
      </c>
      <c r="S140" s="22" t="str">
        <f t="shared" si="1"/>
        <v/>
      </c>
    </row>
    <row r="141" spans="2:19" x14ac:dyDescent="0.25">
      <c r="B141" s="90"/>
      <c r="C141" s="295"/>
      <c r="D141" s="294"/>
      <c r="E141" s="294"/>
      <c r="F141" s="296"/>
      <c r="G141" s="297"/>
      <c r="H141" s="298"/>
      <c r="I141" s="300"/>
      <c r="M141" s="118">
        <v>43392</v>
      </c>
      <c r="N141" s="128">
        <v>35229112000</v>
      </c>
      <c r="Q141" t="str">
        <f>Debentures!C87</f>
        <v>DASA14</v>
      </c>
      <c r="R141" t="str">
        <v/>
      </c>
      <c r="S141" s="22" t="str">
        <f t="shared" ref="S141:S204" si="2">IF(OR(R141=0,R141=""),"",R141&amp;" Corp")</f>
        <v/>
      </c>
    </row>
    <row r="142" spans="2:19" x14ac:dyDescent="0.25">
      <c r="B142" s="90"/>
      <c r="C142" s="295"/>
      <c r="D142" s="294"/>
      <c r="E142" s="294"/>
      <c r="F142" s="296"/>
      <c r="G142" s="297"/>
      <c r="H142" s="298"/>
      <c r="I142" s="300"/>
      <c r="M142" s="118">
        <v>43396</v>
      </c>
      <c r="N142" s="128">
        <v>35650806000</v>
      </c>
      <c r="Q142" t="str">
        <f>Debentures!C88</f>
        <v>GASP23</v>
      </c>
      <c r="R142" t="str">
        <v/>
      </c>
      <c r="S142" s="22" t="str">
        <f t="shared" si="2"/>
        <v/>
      </c>
    </row>
    <row r="143" spans="2:19" x14ac:dyDescent="0.25">
      <c r="B143" s="90"/>
      <c r="C143" s="295"/>
      <c r="D143" s="294"/>
      <c r="E143" s="294"/>
      <c r="F143" s="296"/>
      <c r="G143" s="297"/>
      <c r="H143" s="298"/>
      <c r="I143" s="300"/>
      <c r="M143" s="118">
        <v>43397</v>
      </c>
      <c r="N143" s="128">
        <v>35583937000</v>
      </c>
      <c r="Q143" t="str">
        <f>Debentures!C89</f>
        <v>GASP33</v>
      </c>
      <c r="R143" t="str">
        <v/>
      </c>
      <c r="S143" s="22" t="str">
        <f t="shared" si="2"/>
        <v/>
      </c>
    </row>
    <row r="144" spans="2:19" x14ac:dyDescent="0.25">
      <c r="B144" s="90"/>
      <c r="C144" s="295"/>
      <c r="D144" s="294"/>
      <c r="E144" s="294"/>
      <c r="F144" s="296"/>
      <c r="G144" s="297"/>
      <c r="H144" s="298"/>
      <c r="I144" s="300"/>
      <c r="M144" s="118">
        <v>43398</v>
      </c>
      <c r="N144" s="128">
        <v>35361121000</v>
      </c>
      <c r="Q144" t="str">
        <f>Debentures!C90</f>
        <v>SAPR13</v>
      </c>
      <c r="R144" t="str">
        <v/>
      </c>
      <c r="S144" s="22" t="str">
        <f t="shared" si="2"/>
        <v/>
      </c>
    </row>
    <row r="145" spans="2:19" x14ac:dyDescent="0.25">
      <c r="B145" s="90"/>
      <c r="C145" s="295"/>
      <c r="D145" s="294"/>
      <c r="E145" s="294"/>
      <c r="F145" s="296"/>
      <c r="G145" s="297"/>
      <c r="H145" s="298"/>
      <c r="I145" s="89"/>
      <c r="M145" s="118">
        <v>43399</v>
      </c>
      <c r="N145" s="128">
        <v>35379090000</v>
      </c>
      <c r="Q145" t="str">
        <f>Debentures!C91</f>
        <v>SAPR13</v>
      </c>
      <c r="R145" t="str">
        <v/>
      </c>
      <c r="S145" s="22" t="str">
        <f t="shared" si="2"/>
        <v/>
      </c>
    </row>
    <row r="146" spans="2:19" x14ac:dyDescent="0.25">
      <c r="B146" s="90"/>
      <c r="C146" s="295"/>
      <c r="D146" s="294"/>
      <c r="E146" s="294"/>
      <c r="F146" s="296"/>
      <c r="G146" s="297"/>
      <c r="H146" s="298"/>
      <c r="I146" s="89"/>
      <c r="M146" s="118">
        <v>43403</v>
      </c>
      <c r="N146" s="128">
        <v>35743669000</v>
      </c>
      <c r="Q146" t="str">
        <f>Debentures!C92</f>
        <v>ANHB15</v>
      </c>
      <c r="R146" t="str">
        <v/>
      </c>
      <c r="S146" s="22" t="str">
        <f t="shared" si="2"/>
        <v/>
      </c>
    </row>
    <row r="147" spans="2:19" x14ac:dyDescent="0.25">
      <c r="B147" s="90"/>
      <c r="C147" s="295"/>
      <c r="D147" s="294"/>
      <c r="E147" s="294"/>
      <c r="F147" s="296"/>
      <c r="G147" s="297"/>
      <c r="H147" s="298"/>
      <c r="I147" s="89"/>
      <c r="M147" s="118">
        <v>43404</v>
      </c>
      <c r="N147" s="128">
        <v>35790129000</v>
      </c>
      <c r="Q147" t="str">
        <f>Debentures!C93</f>
        <v>NRTB11</v>
      </c>
      <c r="R147" t="str">
        <v/>
      </c>
      <c r="S147" s="22" t="str">
        <f t="shared" si="2"/>
        <v/>
      </c>
    </row>
    <row r="148" spans="2:19" x14ac:dyDescent="0.25">
      <c r="B148" s="90"/>
      <c r="C148" s="295"/>
      <c r="D148" s="294"/>
      <c r="E148" s="294"/>
      <c r="F148" s="296"/>
      <c r="G148" s="297"/>
      <c r="H148" s="298"/>
      <c r="I148" s="89"/>
      <c r="M148" s="121">
        <v>43409</v>
      </c>
      <c r="N148" s="129">
        <v>36136379000</v>
      </c>
      <c r="Q148" t="str">
        <f>Debentures!C94</f>
        <v>RESA21</v>
      </c>
      <c r="R148" t="str">
        <v/>
      </c>
      <c r="S148" s="22" t="str">
        <f t="shared" si="2"/>
        <v/>
      </c>
    </row>
    <row r="149" spans="2:19" x14ac:dyDescent="0.25">
      <c r="B149" s="90"/>
      <c r="C149" s="295"/>
      <c r="D149" s="294"/>
      <c r="E149" s="294"/>
      <c r="F149" s="296"/>
      <c r="G149" s="297"/>
      <c r="H149" s="298"/>
      <c r="I149" s="89"/>
      <c r="M149" s="37">
        <v>43410</v>
      </c>
      <c r="N149">
        <v>36214926000</v>
      </c>
      <c r="Q149" t="str">
        <f>Debentures!C95</f>
        <v>RESA31</v>
      </c>
      <c r="R149" t="str">
        <v/>
      </c>
      <c r="S149" s="22" t="str">
        <f t="shared" si="2"/>
        <v/>
      </c>
    </row>
    <row r="150" spans="2:19" x14ac:dyDescent="0.25">
      <c r="B150" s="90"/>
      <c r="C150" s="295"/>
      <c r="D150" s="294"/>
      <c r="E150" s="294"/>
      <c r="F150" s="296"/>
      <c r="G150" s="297"/>
      <c r="H150" s="298"/>
      <c r="I150" s="89"/>
      <c r="M150" s="37">
        <v>43411</v>
      </c>
      <c r="N150">
        <v>36290203000</v>
      </c>
      <c r="Q150" t="str">
        <f>Debentures!C96</f>
        <v>ODTR11</v>
      </c>
      <c r="R150" t="str">
        <v/>
      </c>
      <c r="S150" s="22" t="str">
        <f t="shared" si="2"/>
        <v/>
      </c>
    </row>
    <row r="151" spans="2:19" x14ac:dyDescent="0.25">
      <c r="B151" s="92"/>
      <c r="C151" s="301"/>
      <c r="D151" s="302"/>
      <c r="E151" s="302"/>
      <c r="F151" s="303"/>
      <c r="G151" s="304"/>
      <c r="H151" s="305"/>
      <c r="I151" s="306"/>
      <c r="M151" s="37">
        <v>43412</v>
      </c>
      <c r="N151">
        <v>36190991000</v>
      </c>
      <c r="Q151" t="str">
        <f>Debentures!C97</f>
        <v>TEPE11</v>
      </c>
      <c r="R151" t="str">
        <v/>
      </c>
      <c r="S151" s="22" t="str">
        <f t="shared" si="2"/>
        <v/>
      </c>
    </row>
    <row r="152" spans="2:19" x14ac:dyDescent="0.25">
      <c r="B152" s="38"/>
      <c r="C152" s="39"/>
      <c r="D152" s="40"/>
      <c r="E152" s="40"/>
      <c r="F152" s="41"/>
      <c r="G152" s="42"/>
      <c r="H152" s="43"/>
      <c r="I152" s="44"/>
      <c r="M152" s="37">
        <v>43413</v>
      </c>
      <c r="N152">
        <v>36089095000</v>
      </c>
      <c r="Q152" t="str">
        <f>Debentures!C98</f>
        <v>TEPE21</v>
      </c>
      <c r="R152" t="str">
        <v/>
      </c>
      <c r="S152" s="22" t="str">
        <f t="shared" si="2"/>
        <v/>
      </c>
    </row>
    <row r="153" spans="2:19" x14ac:dyDescent="0.25">
      <c r="F153" s="37"/>
      <c r="G153" s="45"/>
      <c r="H153" s="32"/>
      <c r="M153" s="37">
        <v>43417</v>
      </c>
      <c r="N153">
        <v>36029115000</v>
      </c>
      <c r="Q153" t="str">
        <f>Debentures!C99</f>
        <v>TEPE31</v>
      </c>
      <c r="R153" t="str">
        <v/>
      </c>
      <c r="S153" s="22" t="str">
        <f t="shared" si="2"/>
        <v/>
      </c>
    </row>
    <row r="154" spans="2:19" x14ac:dyDescent="0.25">
      <c r="F154" s="37"/>
      <c r="M154" s="37">
        <v>43418</v>
      </c>
      <c r="N154">
        <v>35880438000</v>
      </c>
      <c r="Q154" t="str">
        <f>Debentures!C100</f>
        <v>TEPE41</v>
      </c>
      <c r="R154" t="str">
        <v/>
      </c>
      <c r="S154" s="22" t="str">
        <f t="shared" si="2"/>
        <v/>
      </c>
    </row>
    <row r="155" spans="2:19" x14ac:dyDescent="0.25">
      <c r="F155" s="37"/>
      <c r="M155" s="37">
        <v>43425</v>
      </c>
      <c r="N155">
        <v>36151002000</v>
      </c>
      <c r="Q155" t="str">
        <f>Debentures!C101</f>
        <v>OVTL13</v>
      </c>
      <c r="R155" t="str">
        <v/>
      </c>
      <c r="S155" s="22" t="str">
        <f t="shared" si="2"/>
        <v/>
      </c>
    </row>
    <row r="156" spans="2:19" x14ac:dyDescent="0.25">
      <c r="F156" s="37"/>
      <c r="M156" s="37">
        <v>43426</v>
      </c>
      <c r="N156">
        <v>36436436000</v>
      </c>
      <c r="Q156" t="str">
        <f>Debentures!C102</f>
        <v>AVIA13</v>
      </c>
      <c r="R156" t="str">
        <v/>
      </c>
      <c r="S156" s="22" t="str">
        <f t="shared" si="2"/>
        <v/>
      </c>
    </row>
    <row r="157" spans="2:19" x14ac:dyDescent="0.25">
      <c r="F157" s="37"/>
      <c r="M157" s="37">
        <v>43439</v>
      </c>
      <c r="N157">
        <v>37710458000</v>
      </c>
      <c r="Q157" t="str">
        <f>Debentures!C103</f>
        <v>VALE18</v>
      </c>
      <c r="R157" t="str">
        <v/>
      </c>
      <c r="S157" s="22" t="str">
        <f t="shared" si="2"/>
        <v/>
      </c>
    </row>
    <row r="158" spans="2:19" x14ac:dyDescent="0.25">
      <c r="F158" s="37"/>
      <c r="M158" s="37">
        <v>43448</v>
      </c>
      <c r="N158">
        <v>38404237000</v>
      </c>
      <c r="Q158" t="str">
        <f>Debentures!C104</f>
        <v>VALE28</v>
      </c>
      <c r="R158" t="str">
        <v/>
      </c>
      <c r="S158" s="22" t="str">
        <f t="shared" si="2"/>
        <v/>
      </c>
    </row>
    <row r="159" spans="2:19" x14ac:dyDescent="0.25">
      <c r="F159" s="37"/>
      <c r="M159" s="37">
        <v>43452</v>
      </c>
      <c r="N159">
        <v>38474448000</v>
      </c>
      <c r="Q159" t="str">
        <f>Debentures!C105</f>
        <v>VALE48</v>
      </c>
      <c r="R159" t="str">
        <v/>
      </c>
      <c r="S159" s="22" t="str">
        <f t="shared" si="2"/>
        <v/>
      </c>
    </row>
    <row r="160" spans="2:19" x14ac:dyDescent="0.25">
      <c r="M160" s="37">
        <v>43453</v>
      </c>
      <c r="N160">
        <v>38439833000</v>
      </c>
      <c r="Q160" t="str">
        <f>Debentures!C106</f>
        <v>STEN13</v>
      </c>
      <c r="R160" t="str">
        <v/>
      </c>
      <c r="S160" s="22" t="str">
        <f t="shared" si="2"/>
        <v/>
      </c>
    </row>
    <row r="161" spans="13:19" x14ac:dyDescent="0.25">
      <c r="M161" s="37">
        <v>43454</v>
      </c>
      <c r="N161">
        <v>38670956000</v>
      </c>
      <c r="Q161" t="str">
        <f>Debentures!C107</f>
        <v>VALE38</v>
      </c>
      <c r="R161" t="str">
        <v/>
      </c>
      <c r="S161" s="22" t="str">
        <f t="shared" si="2"/>
        <v/>
      </c>
    </row>
    <row r="162" spans="13:19" x14ac:dyDescent="0.25">
      <c r="M162" s="37">
        <v>43455</v>
      </c>
      <c r="N162">
        <v>38849401000</v>
      </c>
      <c r="Q162" t="str">
        <f>Debentures!C108</f>
        <v>MDNE14</v>
      </c>
      <c r="R162" t="str">
        <v/>
      </c>
      <c r="S162" s="22" t="str">
        <f t="shared" si="2"/>
        <v/>
      </c>
    </row>
    <row r="163" spans="13:19" x14ac:dyDescent="0.25">
      <c r="M163" s="37">
        <v>43461</v>
      </c>
      <c r="N163">
        <v>38926584000</v>
      </c>
      <c r="Q163" t="str">
        <f>Debentures!C109</f>
        <v>STEN23</v>
      </c>
      <c r="R163" t="str">
        <v/>
      </c>
      <c r="S163" s="22" t="str">
        <f t="shared" si="2"/>
        <v/>
      </c>
    </row>
    <row r="164" spans="13:19" x14ac:dyDescent="0.25">
      <c r="M164" s="37">
        <v>43462</v>
      </c>
      <c r="N164">
        <v>39008875000</v>
      </c>
      <c r="Q164" t="str">
        <f>Debentures!C110</f>
        <v>AGRU11</v>
      </c>
      <c r="R164" t="str">
        <v/>
      </c>
      <c r="S164" s="22" t="str">
        <f t="shared" si="2"/>
        <v/>
      </c>
    </row>
    <row r="165" spans="13:19" x14ac:dyDescent="0.25">
      <c r="M165" s="37">
        <v>43468</v>
      </c>
      <c r="N165">
        <v>39393138000</v>
      </c>
      <c r="Q165" t="str">
        <f>Debentures!C111</f>
        <v/>
      </c>
      <c r="R165" t="str">
        <v/>
      </c>
      <c r="S165" s="22" t="str">
        <f t="shared" si="2"/>
        <v/>
      </c>
    </row>
    <row r="166" spans="13:19" x14ac:dyDescent="0.25">
      <c r="M166" s="37">
        <v>43469</v>
      </c>
      <c r="N166">
        <v>39813698000</v>
      </c>
      <c r="Q166" t="str">
        <f>Debentures!C112</f>
        <v/>
      </c>
      <c r="R166" t="str">
        <v/>
      </c>
      <c r="S166" s="22" t="str">
        <f t="shared" si="2"/>
        <v/>
      </c>
    </row>
    <row r="167" spans="13:19" x14ac:dyDescent="0.25">
      <c r="M167" s="37">
        <v>43473</v>
      </c>
      <c r="N167">
        <v>40420195000</v>
      </c>
      <c r="Q167" t="str">
        <f>Debentures!C113</f>
        <v/>
      </c>
      <c r="R167" t="str">
        <v/>
      </c>
      <c r="S167" s="22" t="str">
        <f t="shared" si="2"/>
        <v/>
      </c>
    </row>
    <row r="168" spans="13:19" x14ac:dyDescent="0.25">
      <c r="M168" s="37">
        <v>43474</v>
      </c>
      <c r="N168">
        <v>40542069000</v>
      </c>
      <c r="Q168" t="str">
        <f>Debentures!C114</f>
        <v/>
      </c>
      <c r="R168" t="str">
        <v/>
      </c>
      <c r="S168" s="22" t="str">
        <f t="shared" si="2"/>
        <v/>
      </c>
    </row>
    <row r="169" spans="13:19" x14ac:dyDescent="0.25">
      <c r="M169" s="37">
        <v>43475</v>
      </c>
      <c r="N169">
        <v>41827768000</v>
      </c>
      <c r="Q169" t="str">
        <f>Debentures!C115</f>
        <v/>
      </c>
      <c r="R169" t="str">
        <v/>
      </c>
      <c r="S169" s="22" t="str">
        <f t="shared" si="2"/>
        <v/>
      </c>
    </row>
    <row r="170" spans="13:19" x14ac:dyDescent="0.25">
      <c r="M170" s="37">
        <v>43476</v>
      </c>
      <c r="N170">
        <v>41870875000</v>
      </c>
      <c r="Q170" t="str">
        <f>Debentures!C116</f>
        <v/>
      </c>
      <c r="R170" t="str">
        <v/>
      </c>
      <c r="S170" s="22" t="str">
        <f t="shared" si="2"/>
        <v/>
      </c>
    </row>
    <row r="171" spans="13:19" x14ac:dyDescent="0.25">
      <c r="M171" s="37">
        <v>43480</v>
      </c>
      <c r="N171">
        <v>42307588000</v>
      </c>
      <c r="Q171" t="str">
        <f>Debentures!C117</f>
        <v/>
      </c>
      <c r="R171" t="str">
        <v/>
      </c>
      <c r="S171" s="22" t="str">
        <f t="shared" si="2"/>
        <v/>
      </c>
    </row>
    <row r="172" spans="13:19" x14ac:dyDescent="0.25">
      <c r="M172" s="37">
        <v>43481</v>
      </c>
      <c r="N172">
        <v>42250618000</v>
      </c>
      <c r="Q172" t="str">
        <f>Debentures!C118</f>
        <v/>
      </c>
      <c r="R172" t="str">
        <v/>
      </c>
      <c r="S172" s="22" t="str">
        <f t="shared" si="2"/>
        <v/>
      </c>
    </row>
    <row r="173" spans="13:19" x14ac:dyDescent="0.25">
      <c r="M173" s="37">
        <v>43482</v>
      </c>
      <c r="N173">
        <v>42332611000</v>
      </c>
      <c r="Q173" t="str">
        <f>Debentures!C119</f>
        <v/>
      </c>
      <c r="R173" t="str">
        <v/>
      </c>
      <c r="S173" s="22" t="str">
        <f t="shared" si="2"/>
        <v/>
      </c>
    </row>
    <row r="174" spans="13:19" x14ac:dyDescent="0.25">
      <c r="M174" s="37">
        <v>43483</v>
      </c>
      <c r="N174">
        <v>42349533000</v>
      </c>
      <c r="Q174" t="str">
        <f>Debentures!C120</f>
        <v/>
      </c>
      <c r="R174" t="str">
        <v/>
      </c>
      <c r="S174" s="22" t="str">
        <f t="shared" si="2"/>
        <v/>
      </c>
    </row>
    <row r="175" spans="13:19" x14ac:dyDescent="0.25">
      <c r="M175" s="37">
        <v>43487</v>
      </c>
      <c r="N175">
        <v>42391756000</v>
      </c>
      <c r="Q175" t="str">
        <f>Debentures!C121</f>
        <v/>
      </c>
      <c r="R175" t="str">
        <v/>
      </c>
      <c r="S175" s="22" t="str">
        <f t="shared" si="2"/>
        <v/>
      </c>
    </row>
    <row r="176" spans="13:19" x14ac:dyDescent="0.25">
      <c r="M176" s="37">
        <v>43488</v>
      </c>
      <c r="N176">
        <v>42394141000</v>
      </c>
      <c r="Q176" t="str">
        <f>Debentures!C122</f>
        <v/>
      </c>
      <c r="R176" t="str">
        <v/>
      </c>
      <c r="S176" s="22" t="str">
        <f t="shared" si="2"/>
        <v/>
      </c>
    </row>
    <row r="177" spans="13:19" x14ac:dyDescent="0.25">
      <c r="M177" s="37">
        <v>43489</v>
      </c>
      <c r="N177">
        <v>43602301000</v>
      </c>
      <c r="Q177" t="str">
        <f>Debentures!C123</f>
        <v/>
      </c>
      <c r="R177" t="str">
        <v/>
      </c>
      <c r="S177" s="22" t="str">
        <f t="shared" si="2"/>
        <v/>
      </c>
    </row>
    <row r="178" spans="13:19" x14ac:dyDescent="0.25">
      <c r="M178" s="37">
        <v>43494</v>
      </c>
      <c r="N178">
        <v>43452298000</v>
      </c>
      <c r="Q178" t="str">
        <f>Debentures!C124</f>
        <v/>
      </c>
      <c r="R178" t="str">
        <v/>
      </c>
      <c r="S178" s="22" t="str">
        <f t="shared" si="2"/>
        <v/>
      </c>
    </row>
    <row r="179" spans="13:19" x14ac:dyDescent="0.25">
      <c r="M179" s="37">
        <v>43495</v>
      </c>
      <c r="N179">
        <v>43765242000</v>
      </c>
      <c r="Q179" t="str">
        <f>Debentures!C125</f>
        <v/>
      </c>
      <c r="R179" t="str">
        <v/>
      </c>
      <c r="S179" s="22" t="str">
        <f t="shared" si="2"/>
        <v/>
      </c>
    </row>
    <row r="180" spans="13:19" x14ac:dyDescent="0.25">
      <c r="M180" s="37">
        <v>43496</v>
      </c>
      <c r="N180">
        <v>43934845000</v>
      </c>
      <c r="Q180" t="str">
        <f>Debentures!C126</f>
        <v/>
      </c>
      <c r="R180" t="str">
        <v/>
      </c>
      <c r="S180" s="22" t="str">
        <f t="shared" si="2"/>
        <v/>
      </c>
    </row>
    <row r="181" spans="13:19" x14ac:dyDescent="0.25">
      <c r="M181" s="37">
        <v>43497</v>
      </c>
      <c r="N181">
        <v>44432578000</v>
      </c>
      <c r="Q181" t="str">
        <f>Debentures!C127</f>
        <v/>
      </c>
      <c r="R181" t="str">
        <v/>
      </c>
      <c r="S181" s="22" t="str">
        <f t="shared" si="2"/>
        <v/>
      </c>
    </row>
    <row r="182" spans="13:19" x14ac:dyDescent="0.25">
      <c r="M182" s="37">
        <v>43501</v>
      </c>
      <c r="N182">
        <v>44746679000</v>
      </c>
      <c r="Q182" t="str">
        <f>Debentures!C128</f>
        <v/>
      </c>
      <c r="R182" t="str">
        <v/>
      </c>
      <c r="S182" s="22" t="str">
        <f t="shared" si="2"/>
        <v/>
      </c>
    </row>
    <row r="183" spans="13:19" x14ac:dyDescent="0.25">
      <c r="M183" s="37">
        <v>43502</v>
      </c>
      <c r="N183">
        <v>44516374000</v>
      </c>
      <c r="Q183" t="str">
        <f>Debentures!C129</f>
        <v/>
      </c>
      <c r="R183" t="str">
        <v/>
      </c>
      <c r="S183" s="22" t="str">
        <f t="shared" si="2"/>
        <v/>
      </c>
    </row>
    <row r="184" spans="13:19" x14ac:dyDescent="0.25">
      <c r="M184" s="37">
        <v>43503</v>
      </c>
      <c r="N184">
        <v>44507586000</v>
      </c>
      <c r="Q184" t="str">
        <f>Debentures!C130</f>
        <v/>
      </c>
      <c r="R184" t="str">
        <v/>
      </c>
      <c r="S184" s="22" t="str">
        <f t="shared" si="2"/>
        <v/>
      </c>
    </row>
    <row r="185" spans="13:19" x14ac:dyDescent="0.25">
      <c r="M185" s="37">
        <v>43504</v>
      </c>
      <c r="N185">
        <v>44179548000</v>
      </c>
      <c r="Q185" t="str">
        <f>Debentures!C131</f>
        <v/>
      </c>
      <c r="R185" t="str">
        <v/>
      </c>
      <c r="S185" s="22" t="str">
        <f t="shared" si="2"/>
        <v/>
      </c>
    </row>
    <row r="186" spans="13:19" x14ac:dyDescent="0.25">
      <c r="M186" s="37">
        <v>43508</v>
      </c>
      <c r="N186">
        <v>43649593000</v>
      </c>
      <c r="Q186" t="str">
        <f>Debentures!C132</f>
        <v/>
      </c>
      <c r="R186" t="str">
        <v/>
      </c>
      <c r="S186" s="22" t="str">
        <f t="shared" si="2"/>
        <v/>
      </c>
    </row>
    <row r="187" spans="13:19" x14ac:dyDescent="0.25">
      <c r="M187" s="37">
        <v>43509</v>
      </c>
      <c r="N187">
        <v>44059012000</v>
      </c>
      <c r="Q187" t="str">
        <f>Debentures!C133</f>
        <v/>
      </c>
      <c r="R187" t="str">
        <v/>
      </c>
      <c r="S187" s="22" t="str">
        <f t="shared" si="2"/>
        <v/>
      </c>
    </row>
    <row r="188" spans="13:19" x14ac:dyDescent="0.25">
      <c r="M188" s="37">
        <v>43510</v>
      </c>
      <c r="N188">
        <v>44699723000</v>
      </c>
      <c r="Q188" t="str">
        <f>Debentures!C134</f>
        <v/>
      </c>
      <c r="R188" t="str">
        <v/>
      </c>
      <c r="S188" s="22" t="str">
        <f t="shared" si="2"/>
        <v/>
      </c>
    </row>
    <row r="189" spans="13:19" x14ac:dyDescent="0.25">
      <c r="M189" s="37">
        <v>43511</v>
      </c>
      <c r="N189">
        <v>45004028000</v>
      </c>
      <c r="Q189" t="str">
        <f>Debentures!C135</f>
        <v/>
      </c>
      <c r="R189" t="str">
        <v/>
      </c>
      <c r="S189" s="22" t="str">
        <f t="shared" si="2"/>
        <v/>
      </c>
    </row>
    <row r="190" spans="13:19" x14ac:dyDescent="0.25">
      <c r="M190" s="37">
        <v>43515</v>
      </c>
      <c r="N190">
        <v>45475802000</v>
      </c>
      <c r="Q190" t="str">
        <f>Debentures!C136</f>
        <v/>
      </c>
      <c r="R190" t="str">
        <v/>
      </c>
      <c r="S190" s="22" t="str">
        <f t="shared" si="2"/>
        <v/>
      </c>
    </row>
    <row r="191" spans="13:19" x14ac:dyDescent="0.25">
      <c r="M191" s="37">
        <v>43516</v>
      </c>
      <c r="N191">
        <v>45571068000</v>
      </c>
      <c r="Q191" t="str">
        <f>Debentures!C137</f>
        <v/>
      </c>
      <c r="R191" t="str">
        <v/>
      </c>
      <c r="S191" s="22" t="str">
        <f t="shared" si="2"/>
        <v/>
      </c>
    </row>
    <row r="192" spans="13:19" x14ac:dyDescent="0.25">
      <c r="M192" s="37">
        <v>43517</v>
      </c>
      <c r="N192">
        <v>45318786000</v>
      </c>
      <c r="Q192" t="str">
        <f>Debentures!C138</f>
        <v/>
      </c>
      <c r="R192" t="str">
        <v/>
      </c>
      <c r="S192" s="22" t="str">
        <f t="shared" si="2"/>
        <v/>
      </c>
    </row>
    <row r="193" spans="13:19" x14ac:dyDescent="0.25">
      <c r="M193" s="37">
        <v>43518</v>
      </c>
      <c r="N193">
        <v>45248989000</v>
      </c>
      <c r="Q193" t="str">
        <f>Debentures!C139</f>
        <v/>
      </c>
      <c r="R193" t="str">
        <v/>
      </c>
      <c r="S193" s="22" t="str">
        <f t="shared" si="2"/>
        <v/>
      </c>
    </row>
    <row r="194" spans="13:19" x14ac:dyDescent="0.25">
      <c r="M194" s="37">
        <v>43522</v>
      </c>
      <c r="N194">
        <v>45133687000</v>
      </c>
      <c r="Q194" t="str">
        <f>Debentures!C140</f>
        <v/>
      </c>
      <c r="R194" t="str">
        <v/>
      </c>
      <c r="S194" s="22" t="str">
        <f t="shared" si="2"/>
        <v/>
      </c>
    </row>
    <row r="195" spans="13:19" x14ac:dyDescent="0.25">
      <c r="M195" s="37">
        <v>43523</v>
      </c>
      <c r="N195">
        <v>45150055000</v>
      </c>
      <c r="Q195" t="str">
        <f>Debentures!C141</f>
        <v/>
      </c>
      <c r="R195" t="str">
        <v/>
      </c>
      <c r="S195" s="22" t="str">
        <f t="shared" si="2"/>
        <v/>
      </c>
    </row>
    <row r="196" spans="13:19" x14ac:dyDescent="0.25">
      <c r="M196" s="37">
        <v>43524</v>
      </c>
      <c r="N196">
        <v>45365164000</v>
      </c>
      <c r="Q196" t="str">
        <f>Debentures!C142</f>
        <v/>
      </c>
      <c r="R196" t="str">
        <v/>
      </c>
      <c r="S196" s="22" t="str">
        <f t="shared" si="2"/>
        <v/>
      </c>
    </row>
    <row r="197" spans="13:19" x14ac:dyDescent="0.25">
      <c r="M197" s="37">
        <v>43525</v>
      </c>
      <c r="N197">
        <v>45405438000</v>
      </c>
      <c r="Q197" t="str">
        <f>Debentures!C143</f>
        <v/>
      </c>
      <c r="R197" t="str">
        <v/>
      </c>
      <c r="S197" s="22" t="str">
        <f t="shared" si="2"/>
        <v/>
      </c>
    </row>
    <row r="198" spans="13:19" x14ac:dyDescent="0.25">
      <c r="M198" s="37">
        <v>43531</v>
      </c>
      <c r="N198">
        <v>45289718000</v>
      </c>
      <c r="Q198" t="str">
        <f>Debentures!C144</f>
        <v/>
      </c>
      <c r="R198" t="str">
        <v/>
      </c>
      <c r="S198" s="22" t="str">
        <f t="shared" si="2"/>
        <v/>
      </c>
    </row>
    <row r="199" spans="13:19" x14ac:dyDescent="0.25">
      <c r="M199" s="37">
        <v>43532</v>
      </c>
      <c r="N199">
        <v>45306158000</v>
      </c>
      <c r="Q199" t="str">
        <f>Debentures!C145</f>
        <v/>
      </c>
      <c r="R199" t="str">
        <v/>
      </c>
      <c r="S199" s="22" t="str">
        <f t="shared" si="2"/>
        <v/>
      </c>
    </row>
    <row r="200" spans="13:19" x14ac:dyDescent="0.25">
      <c r="M200" s="37">
        <v>43536</v>
      </c>
      <c r="N200">
        <v>45984512000</v>
      </c>
      <c r="Q200" t="str">
        <f>Debentures!C146</f>
        <v/>
      </c>
      <c r="R200" t="str">
        <v/>
      </c>
      <c r="S200" s="22" t="str">
        <f t="shared" si="2"/>
        <v/>
      </c>
    </row>
    <row r="201" spans="13:19" x14ac:dyDescent="0.25">
      <c r="M201" s="37">
        <v>43537</v>
      </c>
      <c r="N201">
        <v>45990675000</v>
      </c>
      <c r="Q201" t="str">
        <f>Debentures!C147</f>
        <v/>
      </c>
      <c r="R201" t="str">
        <v/>
      </c>
      <c r="S201" s="22" t="str">
        <f t="shared" si="2"/>
        <v/>
      </c>
    </row>
    <row r="202" spans="13:19" x14ac:dyDescent="0.25">
      <c r="M202" s="37">
        <v>43538</v>
      </c>
      <c r="N202">
        <v>46501555000</v>
      </c>
      <c r="Q202" t="str">
        <f>Debentures!C148</f>
        <v/>
      </c>
      <c r="R202" t="str">
        <v/>
      </c>
      <c r="S202" s="22" t="str">
        <f t="shared" si="2"/>
        <v/>
      </c>
    </row>
    <row r="203" spans="13:19" x14ac:dyDescent="0.25">
      <c r="M203" s="37">
        <v>43539</v>
      </c>
      <c r="N203">
        <v>46479138000</v>
      </c>
      <c r="Q203" t="str">
        <f>Debentures!C149</f>
        <v/>
      </c>
      <c r="R203" t="str">
        <v/>
      </c>
      <c r="S203" s="22" t="str">
        <f t="shared" si="2"/>
        <v/>
      </c>
    </row>
    <row r="204" spans="13:19" x14ac:dyDescent="0.25">
      <c r="M204" s="37">
        <v>43543</v>
      </c>
      <c r="N204">
        <v>46631715000</v>
      </c>
      <c r="Q204" t="str">
        <f>Debentures!C150</f>
        <v/>
      </c>
      <c r="R204" t="str">
        <v/>
      </c>
      <c r="S204" s="22" t="str">
        <f t="shared" si="2"/>
        <v/>
      </c>
    </row>
    <row r="205" spans="13:19" x14ac:dyDescent="0.25">
      <c r="M205" s="37">
        <v>43544</v>
      </c>
      <c r="N205">
        <v>46638498000</v>
      </c>
      <c r="Q205" t="str">
        <f>Debentures!C151</f>
        <v/>
      </c>
      <c r="R205" t="str">
        <v/>
      </c>
      <c r="S205" s="22" t="str">
        <f t="shared" ref="S205:S258" si="3">IF(OR(R205=0,R205=""),"",R205&amp;" Corp")</f>
        <v/>
      </c>
    </row>
    <row r="206" spans="13:19" x14ac:dyDescent="0.25">
      <c r="M206" s="37">
        <v>43545</v>
      </c>
      <c r="N206">
        <v>46794932000</v>
      </c>
      <c r="Q206" t="str">
        <f>Debentures!C152</f>
        <v/>
      </c>
      <c r="R206" t="str">
        <v/>
      </c>
      <c r="S206" s="22" t="str">
        <f t="shared" si="3"/>
        <v/>
      </c>
    </row>
    <row r="207" spans="13:19" x14ac:dyDescent="0.25">
      <c r="M207" s="37">
        <v>43546</v>
      </c>
      <c r="N207">
        <v>46505553000</v>
      </c>
      <c r="Q207" t="str">
        <f>Debentures!C153</f>
        <v/>
      </c>
      <c r="R207" t="str">
        <v/>
      </c>
      <c r="S207" s="22" t="str">
        <f t="shared" si="3"/>
        <v/>
      </c>
    </row>
    <row r="208" spans="13:19" x14ac:dyDescent="0.25">
      <c r="M208" s="37">
        <v>43550</v>
      </c>
      <c r="N208">
        <v>45746764000</v>
      </c>
      <c r="Q208" t="str">
        <f>Debentures!C154</f>
        <v/>
      </c>
      <c r="R208" t="str">
        <v/>
      </c>
      <c r="S208" s="22" t="str">
        <f t="shared" si="3"/>
        <v/>
      </c>
    </row>
    <row r="209" spans="13:19" x14ac:dyDescent="0.25">
      <c r="M209" s="37">
        <v>43551</v>
      </c>
      <c r="N209">
        <v>45367486000</v>
      </c>
      <c r="Q209" t="str">
        <f>Debentures!C155</f>
        <v/>
      </c>
      <c r="R209" t="str">
        <v/>
      </c>
      <c r="S209" s="22" t="str">
        <f t="shared" si="3"/>
        <v/>
      </c>
    </row>
    <row r="210" spans="13:19" x14ac:dyDescent="0.25">
      <c r="M210" s="37">
        <v>43552</v>
      </c>
      <c r="N210">
        <v>44319137000</v>
      </c>
      <c r="Q210" t="str">
        <f>Debentures!C156</f>
        <v/>
      </c>
      <c r="R210" t="str">
        <v/>
      </c>
      <c r="S210" s="22" t="str">
        <f t="shared" si="3"/>
        <v/>
      </c>
    </row>
    <row r="211" spans="13:19" x14ac:dyDescent="0.25">
      <c r="M211" s="37">
        <v>43553</v>
      </c>
      <c r="N211">
        <v>45808785000</v>
      </c>
      <c r="Q211" t="str">
        <f>Debentures!C157</f>
        <v/>
      </c>
      <c r="R211" t="str">
        <v/>
      </c>
      <c r="S211" s="22" t="str">
        <f t="shared" si="3"/>
        <v/>
      </c>
    </row>
    <row r="212" spans="13:19" x14ac:dyDescent="0.25">
      <c r="M212" s="37">
        <v>43557</v>
      </c>
      <c r="N212">
        <v>46332503000</v>
      </c>
      <c r="R212" t="str">
        <v/>
      </c>
      <c r="S212" s="22" t="str">
        <f t="shared" si="3"/>
        <v/>
      </c>
    </row>
    <row r="213" spans="13:19" x14ac:dyDescent="0.25">
      <c r="M213" s="37">
        <v>43559</v>
      </c>
      <c r="N213">
        <v>45972795000</v>
      </c>
      <c r="R213" t="str">
        <v/>
      </c>
      <c r="S213" s="22" t="str">
        <f t="shared" si="3"/>
        <v/>
      </c>
    </row>
    <row r="214" spans="13:19" x14ac:dyDescent="0.25">
      <c r="M214" s="37">
        <v>43560</v>
      </c>
      <c r="N214">
        <v>46012226000</v>
      </c>
      <c r="R214" t="str">
        <v/>
      </c>
      <c r="S214" s="22" t="str">
        <f t="shared" si="3"/>
        <v/>
      </c>
    </row>
    <row r="215" spans="13:19" x14ac:dyDescent="0.25">
      <c r="M215" s="37">
        <v>43564</v>
      </c>
      <c r="N215">
        <v>46160658000</v>
      </c>
      <c r="R215" t="str">
        <v/>
      </c>
      <c r="S215" s="22" t="str">
        <f t="shared" si="3"/>
        <v/>
      </c>
    </row>
    <row r="216" spans="13:19" x14ac:dyDescent="0.25">
      <c r="M216" s="37">
        <v>43565</v>
      </c>
      <c r="N216">
        <v>45894588000</v>
      </c>
      <c r="R216" t="str">
        <v/>
      </c>
      <c r="S216" s="22" t="str">
        <f t="shared" si="3"/>
        <v/>
      </c>
    </row>
    <row r="217" spans="13:19" x14ac:dyDescent="0.25">
      <c r="M217" s="37">
        <v>43566</v>
      </c>
      <c r="N217">
        <v>46166547000</v>
      </c>
      <c r="R217" t="str">
        <v/>
      </c>
      <c r="S217" s="22" t="str">
        <f t="shared" si="3"/>
        <v/>
      </c>
    </row>
    <row r="218" spans="13:19" x14ac:dyDescent="0.25">
      <c r="M218" s="37">
        <v>43567</v>
      </c>
      <c r="N218">
        <v>46077123000</v>
      </c>
      <c r="R218" t="str">
        <v/>
      </c>
      <c r="S218" s="22" t="str">
        <f t="shared" si="3"/>
        <v/>
      </c>
    </row>
    <row r="219" spans="13:19" x14ac:dyDescent="0.25">
      <c r="M219" s="37">
        <v>43571</v>
      </c>
      <c r="N219">
        <v>45999289000</v>
      </c>
      <c r="R219" t="str">
        <v/>
      </c>
      <c r="S219" s="22" t="str">
        <f t="shared" si="3"/>
        <v/>
      </c>
    </row>
    <row r="220" spans="13:19" x14ac:dyDescent="0.25">
      <c r="M220" s="37">
        <v>43572</v>
      </c>
      <c r="N220">
        <v>45963624000</v>
      </c>
      <c r="R220" t="str">
        <v/>
      </c>
      <c r="S220" s="22" t="str">
        <f t="shared" si="3"/>
        <v/>
      </c>
    </row>
    <row r="221" spans="13:19" x14ac:dyDescent="0.25">
      <c r="M221" s="37">
        <v>43573</v>
      </c>
      <c r="N221">
        <v>45909571000</v>
      </c>
      <c r="R221" t="str">
        <v/>
      </c>
      <c r="S221" s="22" t="str">
        <f t="shared" si="3"/>
        <v/>
      </c>
    </row>
    <row r="222" spans="13:19" x14ac:dyDescent="0.25">
      <c r="M222" s="37">
        <v>43578</v>
      </c>
      <c r="N222">
        <v>46212490000</v>
      </c>
      <c r="R222" t="str">
        <v/>
      </c>
      <c r="S222" s="22" t="str">
        <f t="shared" si="3"/>
        <v/>
      </c>
    </row>
    <row r="223" spans="13:19" x14ac:dyDescent="0.25">
      <c r="M223" s="37">
        <v>43579</v>
      </c>
      <c r="N223">
        <v>46608036000</v>
      </c>
      <c r="R223" t="str">
        <v/>
      </c>
      <c r="S223" s="22" t="str">
        <f t="shared" si="3"/>
        <v/>
      </c>
    </row>
    <row r="224" spans="13:19" x14ac:dyDescent="0.25">
      <c r="M224" s="37">
        <v>43580</v>
      </c>
      <c r="N224">
        <v>46571326000</v>
      </c>
      <c r="R224" t="str">
        <v/>
      </c>
      <c r="S224" s="22" t="str">
        <f t="shared" si="3"/>
        <v/>
      </c>
    </row>
    <row r="225" spans="13:19" x14ac:dyDescent="0.25">
      <c r="M225" s="37">
        <v>43581</v>
      </c>
      <c r="N225">
        <v>46834058000</v>
      </c>
      <c r="R225" t="str">
        <v/>
      </c>
      <c r="S225" s="22" t="str">
        <f t="shared" si="3"/>
        <v/>
      </c>
    </row>
    <row r="226" spans="13:19" x14ac:dyDescent="0.25">
      <c r="M226" s="37">
        <v>43585</v>
      </c>
      <c r="N226">
        <v>46909348000</v>
      </c>
      <c r="R226" t="str">
        <v/>
      </c>
      <c r="S226" s="22" t="str">
        <f t="shared" si="3"/>
        <v/>
      </c>
    </row>
    <row r="227" spans="13:19" x14ac:dyDescent="0.25">
      <c r="M227" s="37">
        <v>43588</v>
      </c>
      <c r="N227">
        <v>47164268000</v>
      </c>
      <c r="R227" t="str">
        <v/>
      </c>
      <c r="S227" s="22" t="str">
        <f t="shared" si="3"/>
        <v/>
      </c>
    </row>
    <row r="228" spans="13:19" x14ac:dyDescent="0.25">
      <c r="M228" s="37">
        <v>43592</v>
      </c>
      <c r="N228">
        <v>47400822000</v>
      </c>
      <c r="R228" t="str">
        <v/>
      </c>
      <c r="S228" s="22" t="str">
        <f t="shared" si="3"/>
        <v/>
      </c>
    </row>
    <row r="229" spans="13:19" x14ac:dyDescent="0.25">
      <c r="M229" s="37">
        <v>43593</v>
      </c>
      <c r="N229">
        <v>47337124000</v>
      </c>
      <c r="R229" t="str">
        <v/>
      </c>
      <c r="S229" s="22" t="str">
        <f t="shared" si="3"/>
        <v/>
      </c>
    </row>
    <row r="230" spans="13:19" x14ac:dyDescent="0.25">
      <c r="M230" s="37">
        <v>43594</v>
      </c>
      <c r="N230">
        <v>47761827000</v>
      </c>
      <c r="R230" t="str">
        <v/>
      </c>
      <c r="S230" s="22" t="str">
        <f t="shared" si="3"/>
        <v/>
      </c>
    </row>
    <row r="231" spans="13:19" x14ac:dyDescent="0.25">
      <c r="M231" s="37">
        <v>43595</v>
      </c>
      <c r="N231">
        <v>48093922000</v>
      </c>
      <c r="R231" t="str">
        <v/>
      </c>
      <c r="S231" s="22" t="str">
        <f t="shared" si="3"/>
        <v/>
      </c>
    </row>
    <row r="232" spans="13:19" x14ac:dyDescent="0.25">
      <c r="M232" s="37">
        <v>43600</v>
      </c>
      <c r="N232">
        <v>48534862000</v>
      </c>
      <c r="R232" t="str">
        <v/>
      </c>
      <c r="S232" s="22" t="str">
        <f t="shared" si="3"/>
        <v/>
      </c>
    </row>
    <row r="233" spans="13:19" x14ac:dyDescent="0.25">
      <c r="M233" s="37">
        <v>43605</v>
      </c>
      <c r="N233">
        <v>47786076000</v>
      </c>
      <c r="R233" t="str">
        <v/>
      </c>
      <c r="S233" s="22" t="str">
        <f t="shared" si="3"/>
        <v/>
      </c>
    </row>
    <row r="234" spans="13:19" x14ac:dyDescent="0.25">
      <c r="M234" s="37">
        <v>43607</v>
      </c>
      <c r="N234">
        <v>48242691000</v>
      </c>
      <c r="R234" t="str">
        <v/>
      </c>
      <c r="S234" s="22" t="str">
        <f t="shared" si="3"/>
        <v/>
      </c>
    </row>
    <row r="235" spans="13:19" x14ac:dyDescent="0.25">
      <c r="M235" s="37">
        <v>43608</v>
      </c>
      <c r="N235">
        <v>48550270000</v>
      </c>
      <c r="R235" t="str">
        <v/>
      </c>
      <c r="S235" s="22" t="str">
        <f t="shared" si="3"/>
        <v/>
      </c>
    </row>
    <row r="236" spans="13:19" x14ac:dyDescent="0.25">
      <c r="M236" s="37">
        <v>43609</v>
      </c>
      <c r="N236">
        <v>48544238000</v>
      </c>
      <c r="R236" t="str">
        <v/>
      </c>
      <c r="S236" s="22" t="str">
        <f t="shared" si="3"/>
        <v/>
      </c>
    </row>
    <row r="237" spans="13:19" x14ac:dyDescent="0.25">
      <c r="M237" s="37">
        <v>43613</v>
      </c>
      <c r="N237">
        <v>48731650000</v>
      </c>
      <c r="R237" t="str">
        <v/>
      </c>
      <c r="S237" s="22" t="str">
        <f t="shared" si="3"/>
        <v/>
      </c>
    </row>
    <row r="238" spans="13:19" x14ac:dyDescent="0.25">
      <c r="M238" s="37">
        <v>43614</v>
      </c>
      <c r="N238">
        <v>49285294000</v>
      </c>
      <c r="R238" t="str">
        <v/>
      </c>
      <c r="S238" s="22" t="str">
        <f t="shared" si="3"/>
        <v/>
      </c>
    </row>
    <row r="239" spans="13:19" x14ac:dyDescent="0.25">
      <c r="M239" s="37">
        <v>43615</v>
      </c>
      <c r="N239">
        <v>49813559000</v>
      </c>
      <c r="R239" t="str">
        <v/>
      </c>
      <c r="S239" s="22" t="str">
        <f t="shared" si="3"/>
        <v/>
      </c>
    </row>
    <row r="240" spans="13:19" x14ac:dyDescent="0.25">
      <c r="M240" s="37">
        <v>43616</v>
      </c>
      <c r="N240">
        <v>50193297000</v>
      </c>
      <c r="R240" t="str">
        <v/>
      </c>
      <c r="S240" s="22" t="str">
        <f t="shared" si="3"/>
        <v/>
      </c>
    </row>
    <row r="241" spans="13:19" x14ac:dyDescent="0.25">
      <c r="M241" s="37">
        <v>43620</v>
      </c>
      <c r="N241">
        <v>51052059000</v>
      </c>
      <c r="R241" t="str">
        <v/>
      </c>
      <c r="S241" s="22" t="str">
        <f t="shared" si="3"/>
        <v/>
      </c>
    </row>
    <row r="242" spans="13:19" x14ac:dyDescent="0.25">
      <c r="M242" s="37">
        <v>43621</v>
      </c>
      <c r="N242">
        <v>51179625000</v>
      </c>
      <c r="R242" t="str">
        <v/>
      </c>
      <c r="S242" s="22" t="str">
        <f t="shared" si="3"/>
        <v/>
      </c>
    </row>
    <row r="243" spans="13:19" x14ac:dyDescent="0.25">
      <c r="M243" s="37">
        <v>43622</v>
      </c>
      <c r="N243">
        <v>51000260000</v>
      </c>
      <c r="R243" t="str">
        <v/>
      </c>
      <c r="S243" s="22" t="str">
        <f t="shared" si="3"/>
        <v/>
      </c>
    </row>
    <row r="244" spans="13:19" x14ac:dyDescent="0.25">
      <c r="M244" s="37">
        <v>43623</v>
      </c>
      <c r="N244">
        <v>51234075000</v>
      </c>
      <c r="R244" t="str">
        <v/>
      </c>
      <c r="S244" s="22" t="str">
        <f t="shared" si="3"/>
        <v/>
      </c>
    </row>
    <row r="245" spans="13:19" x14ac:dyDescent="0.25">
      <c r="M245" s="37">
        <v>43628</v>
      </c>
      <c r="N245">
        <v>51723399000</v>
      </c>
      <c r="R245" t="str">
        <v/>
      </c>
      <c r="S245" s="22" t="str">
        <f t="shared" si="3"/>
        <v/>
      </c>
    </row>
    <row r="246" spans="13:19" x14ac:dyDescent="0.25">
      <c r="M246" s="37">
        <v>43630</v>
      </c>
      <c r="N246">
        <v>51780156000</v>
      </c>
      <c r="R246" t="str">
        <v/>
      </c>
      <c r="S246" s="22" t="str">
        <f t="shared" si="3"/>
        <v/>
      </c>
    </row>
    <row r="247" spans="13:19" x14ac:dyDescent="0.25">
      <c r="M247" s="37">
        <v>43634</v>
      </c>
      <c r="N247">
        <v>52031822000</v>
      </c>
      <c r="R247" t="str">
        <v/>
      </c>
      <c r="S247" s="22" t="str">
        <f t="shared" si="3"/>
        <v/>
      </c>
    </row>
    <row r="248" spans="13:19" x14ac:dyDescent="0.25">
      <c r="M248" s="37">
        <v>43637</v>
      </c>
      <c r="N248">
        <v>52303823000</v>
      </c>
      <c r="R248" t="str">
        <v/>
      </c>
      <c r="S248" s="22" t="str">
        <f t="shared" si="3"/>
        <v/>
      </c>
    </row>
    <row r="249" spans="13:19" x14ac:dyDescent="0.25">
      <c r="M249" s="37">
        <v>43642</v>
      </c>
      <c r="N249">
        <v>53757767000</v>
      </c>
      <c r="R249" t="str">
        <v/>
      </c>
      <c r="S249" s="22" t="str">
        <f t="shared" si="3"/>
        <v/>
      </c>
    </row>
    <row r="250" spans="13:19" x14ac:dyDescent="0.25">
      <c r="M250" s="37">
        <v>43643</v>
      </c>
      <c r="N250">
        <v>53947359000</v>
      </c>
      <c r="R250" t="str">
        <v/>
      </c>
      <c r="S250" s="22" t="str">
        <f t="shared" si="3"/>
        <v/>
      </c>
    </row>
    <row r="251" spans="13:19" x14ac:dyDescent="0.25">
      <c r="M251" s="37">
        <v>43644</v>
      </c>
      <c r="N251">
        <v>54043250000</v>
      </c>
      <c r="R251" t="str">
        <v/>
      </c>
      <c r="S251" s="22" t="str">
        <f t="shared" si="3"/>
        <v/>
      </c>
    </row>
    <row r="252" spans="13:19" x14ac:dyDescent="0.25">
      <c r="M252" s="37">
        <v>43648</v>
      </c>
      <c r="N252">
        <v>54634813000</v>
      </c>
      <c r="R252" t="str">
        <v/>
      </c>
      <c r="S252" s="22" t="str">
        <f t="shared" si="3"/>
        <v/>
      </c>
    </row>
    <row r="253" spans="13:19" x14ac:dyDescent="0.25">
      <c r="M253" s="37">
        <v>43649</v>
      </c>
      <c r="N253">
        <v>54400809000</v>
      </c>
      <c r="R253" t="str">
        <v/>
      </c>
      <c r="S253" s="22" t="str">
        <f t="shared" si="3"/>
        <v/>
      </c>
    </row>
    <row r="254" spans="13:19" x14ac:dyDescent="0.25">
      <c r="M254" s="37">
        <v>43650</v>
      </c>
      <c r="N254">
        <v>54908252000</v>
      </c>
      <c r="R254" t="str">
        <v/>
      </c>
      <c r="S254" s="22" t="str">
        <f t="shared" si="3"/>
        <v/>
      </c>
    </row>
    <row r="255" spans="13:19" x14ac:dyDescent="0.25">
      <c r="M255" s="37">
        <v>43651</v>
      </c>
      <c r="N255">
        <v>55025484000</v>
      </c>
      <c r="R255" t="str">
        <v/>
      </c>
      <c r="S255" s="22" t="str">
        <f t="shared" si="3"/>
        <v/>
      </c>
    </row>
    <row r="256" spans="13:19" x14ac:dyDescent="0.25">
      <c r="M256" s="37">
        <v>43678</v>
      </c>
      <c r="N256">
        <v>56233002000</v>
      </c>
      <c r="R256" t="str">
        <v/>
      </c>
      <c r="S256" s="22" t="str">
        <f t="shared" si="3"/>
        <v/>
      </c>
    </row>
    <row r="257" spans="13:19" x14ac:dyDescent="0.25">
      <c r="M257" s="37">
        <v>43682</v>
      </c>
      <c r="N257">
        <v>56320284000</v>
      </c>
      <c r="R257" t="str">
        <v/>
      </c>
      <c r="S257" s="22" t="str">
        <f t="shared" si="3"/>
        <v/>
      </c>
    </row>
    <row r="258" spans="13:19" x14ac:dyDescent="0.25">
      <c r="M258" s="37">
        <v>43692</v>
      </c>
      <c r="N258">
        <v>57212349000</v>
      </c>
      <c r="R258" t="str">
        <v/>
      </c>
      <c r="S258" s="22" t="str">
        <f t="shared" si="3"/>
        <v/>
      </c>
    </row>
    <row r="259" spans="13:19" x14ac:dyDescent="0.25">
      <c r="M259" s="37">
        <v>43693</v>
      </c>
      <c r="N259">
        <v>57290729000</v>
      </c>
      <c r="R259" t="str">
        <v/>
      </c>
      <c r="S259" s="22"/>
    </row>
    <row r="260" spans="13:19" x14ac:dyDescent="0.25">
      <c r="M260" s="37">
        <v>43697</v>
      </c>
      <c r="N260">
        <v>57351221000</v>
      </c>
      <c r="R260" t="str">
        <v/>
      </c>
      <c r="S260" s="22"/>
    </row>
    <row r="261" spans="13:19" x14ac:dyDescent="0.25">
      <c r="M261" s="37">
        <v>43699</v>
      </c>
      <c r="N261">
        <v>57469394000</v>
      </c>
      <c r="R261" t="str">
        <v/>
      </c>
      <c r="S261" s="22"/>
    </row>
    <row r="262" spans="13:19" x14ac:dyDescent="0.25">
      <c r="M262" s="37">
        <v>43700</v>
      </c>
      <c r="N262">
        <v>57388900000</v>
      </c>
      <c r="R262" t="str">
        <v/>
      </c>
      <c r="S262" s="22"/>
    </row>
    <row r="263" spans="13:19" x14ac:dyDescent="0.25">
      <c r="M263" s="37">
        <v>43704</v>
      </c>
      <c r="N263">
        <v>56805550000</v>
      </c>
      <c r="R263" t="str">
        <v/>
      </c>
      <c r="S263" s="22"/>
    </row>
    <row r="264" spans="13:19" x14ac:dyDescent="0.25">
      <c r="M264" s="37">
        <v>43706</v>
      </c>
      <c r="N264">
        <v>55650241000</v>
      </c>
      <c r="R264" t="str">
        <v/>
      </c>
      <c r="S264" s="22"/>
    </row>
    <row r="265" spans="13:19" x14ac:dyDescent="0.25">
      <c r="M265" s="37">
        <v>43710</v>
      </c>
      <c r="N265">
        <v>55454574000</v>
      </c>
      <c r="R265" t="str">
        <v/>
      </c>
      <c r="S265" s="22"/>
    </row>
    <row r="266" spans="13:19" x14ac:dyDescent="0.25">
      <c r="M266" s="37">
        <v>43711</v>
      </c>
      <c r="N266">
        <v>55877957000</v>
      </c>
      <c r="R266" t="str">
        <v/>
      </c>
      <c r="S266" s="22"/>
    </row>
    <row r="267" spans="13:19" x14ac:dyDescent="0.25">
      <c r="M267" s="37">
        <v>43718</v>
      </c>
      <c r="N267">
        <v>57909121000</v>
      </c>
      <c r="R267" t="str">
        <v/>
      </c>
      <c r="S267" s="22"/>
    </row>
    <row r="268" spans="13:19" x14ac:dyDescent="0.25">
      <c r="M268" s="37">
        <v>43720</v>
      </c>
      <c r="N268">
        <v>58119187000</v>
      </c>
      <c r="R268" t="str">
        <v/>
      </c>
      <c r="S268" s="22"/>
    </row>
    <row r="269" spans="13:19" x14ac:dyDescent="0.25">
      <c r="M269" s="37">
        <v>43724</v>
      </c>
      <c r="N269">
        <v>58314995000</v>
      </c>
      <c r="R269" t="str">
        <v/>
      </c>
      <c r="S269" s="22"/>
    </row>
    <row r="270" spans="13:19" x14ac:dyDescent="0.25">
      <c r="M270" s="37">
        <v>43725</v>
      </c>
      <c r="N270">
        <v>58306238000</v>
      </c>
      <c r="R270" t="str">
        <v/>
      </c>
      <c r="S270" s="22"/>
    </row>
    <row r="271" spans="13:19" x14ac:dyDescent="0.25">
      <c r="M271" s="37">
        <v>43726</v>
      </c>
      <c r="N271">
        <v>58876764000</v>
      </c>
      <c r="R271" t="str">
        <v/>
      </c>
      <c r="S271" s="22"/>
    </row>
    <row r="272" spans="13:19" x14ac:dyDescent="0.25">
      <c r="M272" s="37">
        <v>43728</v>
      </c>
      <c r="N272">
        <v>59414413000</v>
      </c>
      <c r="R272" t="str">
        <v/>
      </c>
      <c r="S272" s="22"/>
    </row>
    <row r="273" spans="13:19" x14ac:dyDescent="0.25">
      <c r="M273" s="37">
        <v>43733</v>
      </c>
      <c r="N273">
        <v>59915525000</v>
      </c>
      <c r="R273" t="str">
        <v/>
      </c>
      <c r="S273" s="22"/>
    </row>
    <row r="274" spans="13:19" x14ac:dyDescent="0.25">
      <c r="M274" s="37">
        <v>43734</v>
      </c>
      <c r="N274">
        <v>60389549000</v>
      </c>
      <c r="R274" t="str">
        <v/>
      </c>
      <c r="S274" s="22"/>
    </row>
    <row r="275" spans="13:19" x14ac:dyDescent="0.25">
      <c r="M275" s="37">
        <v>43735</v>
      </c>
      <c r="N275">
        <v>60545038000</v>
      </c>
      <c r="R275" t="str">
        <v/>
      </c>
      <c r="S275" s="22"/>
    </row>
    <row r="276" spans="13:19" x14ac:dyDescent="0.25">
      <c r="M276" s="37">
        <v>43740</v>
      </c>
      <c r="N276">
        <v>60487639000</v>
      </c>
      <c r="R276" t="str">
        <v/>
      </c>
      <c r="S276" s="22"/>
    </row>
    <row r="277" spans="13:19" x14ac:dyDescent="0.25">
      <c r="M277" s="37">
        <v>43741</v>
      </c>
      <c r="N277">
        <v>60430397000</v>
      </c>
      <c r="R277" t="str">
        <v/>
      </c>
      <c r="S277" s="22"/>
    </row>
    <row r="278" spans="13:19" x14ac:dyDescent="0.25">
      <c r="M278" s="37">
        <v>43742</v>
      </c>
      <c r="N278">
        <v>60698231000</v>
      </c>
      <c r="R278" t="str">
        <v/>
      </c>
      <c r="S278" s="22"/>
    </row>
    <row r="279" spans="13:19" x14ac:dyDescent="0.25">
      <c r="M279" s="37">
        <v>43746</v>
      </c>
      <c r="N279">
        <v>60444285000</v>
      </c>
      <c r="R279" t="str">
        <v/>
      </c>
      <c r="S279" s="22"/>
    </row>
    <row r="280" spans="13:19" x14ac:dyDescent="0.25">
      <c r="M280" s="37">
        <v>43748</v>
      </c>
      <c r="N280">
        <v>60786627000</v>
      </c>
      <c r="R280" t="str">
        <v/>
      </c>
      <c r="S280" s="22"/>
    </row>
    <row r="281" spans="13:19" x14ac:dyDescent="0.25">
      <c r="M281" s="37">
        <v>43749</v>
      </c>
      <c r="N281">
        <v>61078980000</v>
      </c>
      <c r="R281" t="str">
        <v/>
      </c>
      <c r="S281" s="22"/>
    </row>
    <row r="282" spans="13:19" x14ac:dyDescent="0.25">
      <c r="M282" s="37">
        <v>43753</v>
      </c>
      <c r="N282">
        <v>62251854000</v>
      </c>
      <c r="R282" t="str">
        <v/>
      </c>
      <c r="S282" s="22"/>
    </row>
    <row r="283" spans="13:19" x14ac:dyDescent="0.25">
      <c r="M283" s="37">
        <v>43755</v>
      </c>
      <c r="N283">
        <v>61912813000</v>
      </c>
      <c r="R283" t="str">
        <v/>
      </c>
      <c r="S283" s="22"/>
    </row>
    <row r="284" spans="13:19" x14ac:dyDescent="0.25">
      <c r="M284" s="37">
        <v>43760</v>
      </c>
      <c r="N284">
        <v>62913531000</v>
      </c>
      <c r="R284" t="str">
        <v/>
      </c>
      <c r="S284" s="22"/>
    </row>
    <row r="285" spans="13:19" x14ac:dyDescent="0.25">
      <c r="M285" s="37">
        <v>43761</v>
      </c>
      <c r="N285">
        <v>62642701000</v>
      </c>
      <c r="R285" t="str">
        <v/>
      </c>
      <c r="S285" s="22"/>
    </row>
    <row r="286" spans="13:19" x14ac:dyDescent="0.25">
      <c r="M286" s="37">
        <v>43762</v>
      </c>
      <c r="N286">
        <v>63317044000</v>
      </c>
      <c r="R286" t="str">
        <v/>
      </c>
      <c r="S286" s="22"/>
    </row>
    <row r="287" spans="13:19" x14ac:dyDescent="0.25">
      <c r="M287" s="37">
        <v>43766</v>
      </c>
      <c r="N287">
        <v>63256084000</v>
      </c>
      <c r="R287" t="str">
        <v/>
      </c>
      <c r="S287" s="22"/>
    </row>
    <row r="288" spans="13:19" x14ac:dyDescent="0.25">
      <c r="M288" s="37">
        <v>43769</v>
      </c>
      <c r="N288">
        <v>64054113000</v>
      </c>
      <c r="R288" t="str">
        <v/>
      </c>
      <c r="S288" s="22"/>
    </row>
    <row r="289" spans="13:19" x14ac:dyDescent="0.25">
      <c r="M289" s="37">
        <v>43770</v>
      </c>
      <c r="N289">
        <v>64331594000</v>
      </c>
      <c r="R289" t="str">
        <v/>
      </c>
      <c r="S289" s="22"/>
    </row>
    <row r="290" spans="13:19" x14ac:dyDescent="0.25">
      <c r="M290" s="37">
        <v>43774</v>
      </c>
      <c r="N290">
        <v>64709854000</v>
      </c>
      <c r="R290" t="str">
        <v/>
      </c>
      <c r="S290" s="22"/>
    </row>
    <row r="291" spans="13:19" x14ac:dyDescent="0.25">
      <c r="M291" s="37">
        <v>43775</v>
      </c>
      <c r="N291">
        <v>64608147000</v>
      </c>
      <c r="R291" t="str">
        <v/>
      </c>
      <c r="S291" s="22"/>
    </row>
    <row r="292" spans="13:19" x14ac:dyDescent="0.25">
      <c r="M292" s="37">
        <v>43776</v>
      </c>
      <c r="N292">
        <v>64121834000</v>
      </c>
      <c r="R292" t="str">
        <v/>
      </c>
      <c r="S292" s="22"/>
    </row>
    <row r="293" spans="13:19" x14ac:dyDescent="0.25">
      <c r="M293" s="37">
        <v>43777</v>
      </c>
      <c r="N293">
        <v>63675466000</v>
      </c>
      <c r="R293" t="str">
        <v/>
      </c>
      <c r="S293" s="22"/>
    </row>
    <row r="294" spans="13:19" x14ac:dyDescent="0.25">
      <c r="M294" s="37">
        <v>43781</v>
      </c>
      <c r="N294">
        <v>62839172000</v>
      </c>
      <c r="R294" t="str">
        <v/>
      </c>
      <c r="S294" s="22"/>
    </row>
    <row r="295" spans="13:19" x14ac:dyDescent="0.25">
      <c r="M295" s="37">
        <v>43782</v>
      </c>
      <c r="N295">
        <v>62245072000</v>
      </c>
      <c r="R295" t="str">
        <v/>
      </c>
    </row>
    <row r="296" spans="13:19" x14ac:dyDescent="0.25">
      <c r="M296" s="37">
        <v>43783</v>
      </c>
      <c r="N296">
        <v>62161683000</v>
      </c>
      <c r="R296" t="str">
        <v/>
      </c>
    </row>
    <row r="297" spans="13:19" x14ac:dyDescent="0.25">
      <c r="M297" s="37">
        <v>43788</v>
      </c>
      <c r="N297">
        <v>61210589000</v>
      </c>
      <c r="R297" t="str">
        <v/>
      </c>
    </row>
    <row r="298" spans="13:19" x14ac:dyDescent="0.25">
      <c r="M298" s="37">
        <v>43790</v>
      </c>
      <c r="N298">
        <v>61307848000</v>
      </c>
      <c r="R298" t="str">
        <v/>
      </c>
    </row>
    <row r="299" spans="13:19" x14ac:dyDescent="0.25">
      <c r="M299" s="37">
        <v>43795</v>
      </c>
      <c r="N299">
        <v>60747274000</v>
      </c>
      <c r="R299" t="str">
        <v/>
      </c>
    </row>
    <row r="300" spans="13:19" x14ac:dyDescent="0.25">
      <c r="M300" s="37">
        <v>43796</v>
      </c>
      <c r="N300">
        <v>60086105000</v>
      </c>
      <c r="R300" t="str">
        <v/>
      </c>
    </row>
    <row r="301" spans="13:19" x14ac:dyDescent="0.25">
      <c r="M301" s="37">
        <v>43797</v>
      </c>
      <c r="N301">
        <v>59656758000</v>
      </c>
      <c r="R301" t="str">
        <v/>
      </c>
    </row>
    <row r="302" spans="13:19" x14ac:dyDescent="0.25">
      <c r="M302" s="37">
        <v>43801</v>
      </c>
      <c r="N302">
        <v>59817631000</v>
      </c>
      <c r="R302" t="str">
        <v/>
      </c>
    </row>
    <row r="303" spans="13:19" x14ac:dyDescent="0.25">
      <c r="M303" s="37">
        <v>43802</v>
      </c>
      <c r="N303">
        <v>59460811000</v>
      </c>
      <c r="R303" t="str">
        <v/>
      </c>
    </row>
    <row r="304" spans="13:19" x14ac:dyDescent="0.25">
      <c r="M304" s="37">
        <v>43803</v>
      </c>
      <c r="N304">
        <v>59798643000</v>
      </c>
      <c r="R304" t="str">
        <v/>
      </c>
    </row>
    <row r="305" spans="13:18" x14ac:dyDescent="0.25">
      <c r="M305" s="37">
        <v>43804</v>
      </c>
      <c r="N305">
        <v>60276965000</v>
      </c>
      <c r="R305" t="str">
        <v/>
      </c>
    </row>
    <row r="306" spans="13:18" x14ac:dyDescent="0.25">
      <c r="M306" s="37">
        <v>43805</v>
      </c>
      <c r="N306">
        <v>60386027000</v>
      </c>
      <c r="R306" t="str">
        <v/>
      </c>
    </row>
    <row r="307" spans="13:18" x14ac:dyDescent="0.25">
      <c r="M307" s="37">
        <v>43809</v>
      </c>
      <c r="N307">
        <v>61314425000</v>
      </c>
      <c r="R307" t="str">
        <v/>
      </c>
    </row>
    <row r="308" spans="13:18" x14ac:dyDescent="0.25">
      <c r="M308" s="37">
        <v>43810</v>
      </c>
      <c r="N308">
        <v>61638191000</v>
      </c>
      <c r="R308" t="str">
        <v/>
      </c>
    </row>
    <row r="309" spans="13:18" x14ac:dyDescent="0.25">
      <c r="M309" s="37">
        <v>43811</v>
      </c>
      <c r="N309">
        <v>62076992000</v>
      </c>
      <c r="R309" t="str">
        <v/>
      </c>
    </row>
    <row r="310" spans="13:18" x14ac:dyDescent="0.25">
      <c r="M310" s="37">
        <v>43812</v>
      </c>
      <c r="N310">
        <v>62645596000</v>
      </c>
      <c r="R310" t="str">
        <v/>
      </c>
    </row>
    <row r="311" spans="13:18" x14ac:dyDescent="0.25">
      <c r="M311" s="37">
        <v>43816</v>
      </c>
      <c r="N311">
        <v>61850601000</v>
      </c>
      <c r="R311" t="str">
        <v/>
      </c>
    </row>
    <row r="312" spans="13:18" x14ac:dyDescent="0.25">
      <c r="M312" s="37">
        <v>43818</v>
      </c>
      <c r="N312">
        <v>61247091000</v>
      </c>
    </row>
    <row r="313" spans="13:18" x14ac:dyDescent="0.25">
      <c r="M313" s="37">
        <v>43819</v>
      </c>
      <c r="N313">
        <v>60088864000</v>
      </c>
    </row>
    <row r="314" spans="13:18" x14ac:dyDescent="0.25">
      <c r="M314" s="37">
        <v>43826</v>
      </c>
      <c r="N314">
        <v>61274961000</v>
      </c>
    </row>
    <row r="315" spans="13:18" x14ac:dyDescent="0.25">
      <c r="M315" s="37">
        <v>43832</v>
      </c>
      <c r="N315">
        <v>62271373000</v>
      </c>
    </row>
    <row r="316" spans="13:18" x14ac:dyDescent="0.25">
      <c r="M316" s="37">
        <v>43836</v>
      </c>
      <c r="N316">
        <v>62071089000</v>
      </c>
    </row>
    <row r="317" spans="13:18" x14ac:dyDescent="0.25">
      <c r="M317" s="37">
        <v>43838</v>
      </c>
      <c r="N317">
        <v>60942265000</v>
      </c>
    </row>
    <row r="318" spans="13:18" x14ac:dyDescent="0.25">
      <c r="M318" s="37">
        <v>43839</v>
      </c>
      <c r="N318">
        <v>61431697000</v>
      </c>
    </row>
    <row r="319" spans="13:18" x14ac:dyDescent="0.25">
      <c r="M319" s="37">
        <v>43840</v>
      </c>
      <c r="N319">
        <v>61690378000</v>
      </c>
    </row>
    <row r="320" spans="13:18" x14ac:dyDescent="0.25">
      <c r="M320" s="37">
        <v>43844</v>
      </c>
      <c r="N320">
        <v>61608538000</v>
      </c>
    </row>
    <row r="321" spans="13:14" x14ac:dyDescent="0.25">
      <c r="M321" s="37">
        <v>43845</v>
      </c>
      <c r="N321">
        <v>62080705000</v>
      </c>
    </row>
    <row r="322" spans="13:14" x14ac:dyDescent="0.25">
      <c r="M322" s="37">
        <v>43846</v>
      </c>
      <c r="N322">
        <v>61914889000</v>
      </c>
    </row>
    <row r="323" spans="13:14" x14ac:dyDescent="0.25">
      <c r="M323" s="37">
        <v>43847</v>
      </c>
      <c r="N323">
        <v>61680136000</v>
      </c>
    </row>
    <row r="324" spans="13:14" x14ac:dyDescent="0.25">
      <c r="M324" s="37">
        <v>43851</v>
      </c>
      <c r="N324">
        <v>61749307000</v>
      </c>
    </row>
    <row r="325" spans="13:14" x14ac:dyDescent="0.25">
      <c r="M325" s="37">
        <v>43854</v>
      </c>
      <c r="N325">
        <v>62124827000</v>
      </c>
    </row>
    <row r="326" spans="13:14" x14ac:dyDescent="0.25">
      <c r="M326" s="37">
        <v>43858</v>
      </c>
      <c r="N326">
        <v>61900935000</v>
      </c>
    </row>
    <row r="327" spans="13:14" x14ac:dyDescent="0.25">
      <c r="M327" s="37">
        <v>43860</v>
      </c>
      <c r="N327">
        <v>62146949000</v>
      </c>
    </row>
    <row r="328" spans="13:14" x14ac:dyDescent="0.25">
      <c r="M328" s="37">
        <v>43861</v>
      </c>
      <c r="N328">
        <v>62216617000</v>
      </c>
    </row>
    <row r="329" spans="13:14" x14ac:dyDescent="0.25">
      <c r="M329" s="37">
        <v>43865</v>
      </c>
      <c r="N329">
        <v>62361178000</v>
      </c>
    </row>
    <row r="330" spans="13:14" x14ac:dyDescent="0.25">
      <c r="M330" s="37">
        <v>43866</v>
      </c>
      <c r="N330">
        <v>62478841000</v>
      </c>
    </row>
    <row r="331" spans="13:14" x14ac:dyDescent="0.25">
      <c r="M331" s="37">
        <v>43867</v>
      </c>
      <c r="N331">
        <v>63085885000</v>
      </c>
    </row>
    <row r="332" spans="13:14" x14ac:dyDescent="0.25">
      <c r="M332" s="37">
        <v>43868</v>
      </c>
      <c r="N332">
        <v>63073021000</v>
      </c>
    </row>
    <row r="333" spans="13:14" x14ac:dyDescent="0.25">
      <c r="M333" s="37">
        <v>43872</v>
      </c>
      <c r="N333">
        <v>63456691000</v>
      </c>
    </row>
    <row r="334" spans="13:14" x14ac:dyDescent="0.25">
      <c r="M334" s="37">
        <v>43873</v>
      </c>
      <c r="N334">
        <v>63858256000</v>
      </c>
    </row>
    <row r="335" spans="13:14" x14ac:dyDescent="0.25">
      <c r="M335" s="37">
        <v>43874</v>
      </c>
      <c r="N335">
        <v>64168405000</v>
      </c>
    </row>
    <row r="336" spans="13:14" x14ac:dyDescent="0.25">
      <c r="M336" s="37">
        <v>43875</v>
      </c>
      <c r="N336">
        <v>63936937000</v>
      </c>
    </row>
    <row r="337" spans="13:14" x14ac:dyDescent="0.25">
      <c r="M337" s="37">
        <v>43879</v>
      </c>
      <c r="N337">
        <v>64277729000</v>
      </c>
    </row>
    <row r="338" spans="13:14" x14ac:dyDescent="0.25">
      <c r="M338" s="37">
        <v>43880</v>
      </c>
      <c r="N338">
        <v>64300933000</v>
      </c>
    </row>
    <row r="339" spans="13:14" x14ac:dyDescent="0.25">
      <c r="M339" s="37">
        <v>43881</v>
      </c>
      <c r="N339">
        <v>64914819000</v>
      </c>
    </row>
    <row r="340" spans="13:14" x14ac:dyDescent="0.25">
      <c r="M340" s="37">
        <v>43882</v>
      </c>
      <c r="N340">
        <v>64422582000</v>
      </c>
    </row>
    <row r="341" spans="13:14" x14ac:dyDescent="0.25">
      <c r="M341" s="37">
        <v>43888</v>
      </c>
      <c r="N341">
        <v>62870977000</v>
      </c>
    </row>
    <row r="342" spans="13:14" x14ac:dyDescent="0.25">
      <c r="M342" s="37">
        <v>43889</v>
      </c>
      <c r="N342">
        <v>62589068000</v>
      </c>
    </row>
    <row r="343" spans="13:14" x14ac:dyDescent="0.25">
      <c r="M343" s="37">
        <v>43894</v>
      </c>
      <c r="N343">
        <v>63464946000</v>
      </c>
    </row>
    <row r="344" spans="13:14" x14ac:dyDescent="0.25">
      <c r="M344" s="37">
        <v>43895</v>
      </c>
      <c r="N344">
        <v>63696374000</v>
      </c>
    </row>
    <row r="345" spans="13:14" x14ac:dyDescent="0.25">
      <c r="M345" s="37">
        <v>43896</v>
      </c>
      <c r="N345">
        <v>62805151000</v>
      </c>
    </row>
    <row r="346" spans="13:14" x14ac:dyDescent="0.25">
      <c r="M346" s="37">
        <v>43900</v>
      </c>
      <c r="N346">
        <v>59817866000</v>
      </c>
    </row>
    <row r="347" spans="13:14" x14ac:dyDescent="0.25">
      <c r="M347" s="37">
        <v>43901</v>
      </c>
      <c r="N347">
        <v>60014271000</v>
      </c>
    </row>
    <row r="348" spans="13:14" x14ac:dyDescent="0.25">
      <c r="M348" s="37">
        <v>43903</v>
      </c>
      <c r="N348">
        <v>53729909000</v>
      </c>
    </row>
    <row r="349" spans="13:14" x14ac:dyDescent="0.25">
      <c r="M349" s="37">
        <v>43907</v>
      </c>
      <c r="N349">
        <v>54318016000</v>
      </c>
    </row>
    <row r="350" spans="13:14" x14ac:dyDescent="0.25">
      <c r="M350" s="37">
        <v>43909</v>
      </c>
      <c r="N350">
        <v>51731058000</v>
      </c>
    </row>
    <row r="351" spans="13:14" x14ac:dyDescent="0.25">
      <c r="M351" s="37">
        <v>43913</v>
      </c>
      <c r="N351">
        <v>52738900000</v>
      </c>
    </row>
    <row r="352" spans="13:14" x14ac:dyDescent="0.25">
      <c r="M352" s="37">
        <v>43914</v>
      </c>
      <c r="N352">
        <v>50325314000</v>
      </c>
    </row>
    <row r="353" spans="13:14" x14ac:dyDescent="0.25">
      <c r="M353" s="37">
        <v>43916</v>
      </c>
      <c r="N353">
        <v>51682199000</v>
      </c>
    </row>
    <row r="354" spans="13:14" x14ac:dyDescent="0.25">
      <c r="M354" s="37">
        <v>43917</v>
      </c>
      <c r="N354">
        <v>54870822000</v>
      </c>
    </row>
    <row r="355" spans="13:14" x14ac:dyDescent="0.25">
      <c r="M355" s="37">
        <v>43922</v>
      </c>
      <c r="N355">
        <v>54210934000</v>
      </c>
    </row>
    <row r="356" spans="13:14" x14ac:dyDescent="0.25">
      <c r="M356" s="37">
        <v>43924</v>
      </c>
      <c r="N356">
        <v>52878508000</v>
      </c>
    </row>
    <row r="357" spans="13:14" x14ac:dyDescent="0.25">
      <c r="M357" s="37">
        <v>43928</v>
      </c>
      <c r="N357">
        <v>52262280000</v>
      </c>
    </row>
    <row r="358" spans="13:14" x14ac:dyDescent="0.25">
      <c r="M358" s="37">
        <v>43930</v>
      </c>
      <c r="N358">
        <v>52428646000</v>
      </c>
    </row>
    <row r="359" spans="13:14" x14ac:dyDescent="0.25">
      <c r="M359" s="37">
        <v>43931</v>
      </c>
      <c r="N359">
        <v>52673000000</v>
      </c>
    </row>
    <row r="360" spans="13:14" x14ac:dyDescent="0.25">
      <c r="M360" s="37">
        <v>43936</v>
      </c>
      <c r="N360">
        <v>53247397000</v>
      </c>
    </row>
    <row r="361" spans="13:14" x14ac:dyDescent="0.25">
      <c r="M361" s="37">
        <v>43937</v>
      </c>
      <c r="N361">
        <v>53961012000</v>
      </c>
    </row>
    <row r="362" spans="13:14" x14ac:dyDescent="0.25">
      <c r="M362" s="37">
        <v>43941</v>
      </c>
      <c r="N362">
        <v>56390581000</v>
      </c>
    </row>
    <row r="363" spans="13:14" x14ac:dyDescent="0.25">
      <c r="M363" s="37">
        <v>43944</v>
      </c>
      <c r="N363">
        <v>57955638000</v>
      </c>
    </row>
    <row r="364" spans="13:14" x14ac:dyDescent="0.25">
      <c r="M364" s="37">
        <v>43948</v>
      </c>
      <c r="N364">
        <v>56519768000</v>
      </c>
    </row>
    <row r="365" spans="13:14" x14ac:dyDescent="0.25">
      <c r="M365" s="37">
        <v>43950</v>
      </c>
      <c r="N365">
        <v>52834598000</v>
      </c>
    </row>
    <row r="366" spans="13:14" x14ac:dyDescent="0.25">
      <c r="M366" s="37">
        <v>43951</v>
      </c>
      <c r="N366">
        <v>56470943000</v>
      </c>
    </row>
    <row r="367" spans="13:14" x14ac:dyDescent="0.25">
      <c r="M367" s="37">
        <v>43957</v>
      </c>
      <c r="N367">
        <v>55933370000</v>
      </c>
    </row>
    <row r="368" spans="13:14" x14ac:dyDescent="0.25">
      <c r="M368" s="37">
        <v>43958</v>
      </c>
      <c r="N368">
        <v>56034494000</v>
      </c>
    </row>
    <row r="369" spans="13:14" x14ac:dyDescent="0.25">
      <c r="M369" s="37">
        <v>43959</v>
      </c>
      <c r="N369">
        <v>55976494000</v>
      </c>
    </row>
    <row r="370" spans="13:14" x14ac:dyDescent="0.25">
      <c r="M370" s="37">
        <v>43962</v>
      </c>
      <c r="N370">
        <v>54979060000</v>
      </c>
    </row>
    <row r="371" spans="13:14" x14ac:dyDescent="0.25">
      <c r="M371" s="37">
        <v>43964</v>
      </c>
      <c r="N371">
        <v>55210188000</v>
      </c>
    </row>
    <row r="372" spans="13:14" x14ac:dyDescent="0.25">
      <c r="M372" s="37">
        <v>43965</v>
      </c>
      <c r="N372">
        <v>54316346000</v>
      </c>
    </row>
    <row r="373" spans="13:14" x14ac:dyDescent="0.25">
      <c r="M373" s="37">
        <v>43969</v>
      </c>
      <c r="N373">
        <v>54938864000</v>
      </c>
    </row>
    <row r="374" spans="13:14" x14ac:dyDescent="0.25">
      <c r="M374" s="37">
        <v>43971</v>
      </c>
      <c r="N374">
        <v>54368983000</v>
      </c>
    </row>
    <row r="375" spans="13:14" x14ac:dyDescent="0.25">
      <c r="M375" s="37">
        <v>43972</v>
      </c>
      <c r="N375">
        <v>54511071000</v>
      </c>
    </row>
    <row r="376" spans="13:14" x14ac:dyDescent="0.25">
      <c r="M376" s="37">
        <v>43973</v>
      </c>
      <c r="N376">
        <v>54854093000</v>
      </c>
    </row>
    <row r="377" spans="13:14" x14ac:dyDescent="0.25">
      <c r="M377" s="37">
        <v>43976</v>
      </c>
      <c r="N377">
        <v>55027320000</v>
      </c>
    </row>
    <row r="378" spans="13:14" x14ac:dyDescent="0.25">
      <c r="M378" s="37">
        <v>43978</v>
      </c>
      <c r="N378">
        <v>55909289000</v>
      </c>
    </row>
    <row r="379" spans="13:14" x14ac:dyDescent="0.25">
      <c r="M379" s="37">
        <v>43979</v>
      </c>
      <c r="N379">
        <v>55541891000</v>
      </c>
    </row>
    <row r="380" spans="13:14" x14ac:dyDescent="0.25">
      <c r="M380" s="37">
        <v>43980</v>
      </c>
      <c r="N380">
        <v>55633287000</v>
      </c>
    </row>
    <row r="381" spans="13:14" x14ac:dyDescent="0.25">
      <c r="M381" s="37">
        <v>43983</v>
      </c>
      <c r="N381">
        <v>55339652000</v>
      </c>
    </row>
    <row r="382" spans="13:14" x14ac:dyDescent="0.25">
      <c r="M382" s="37">
        <v>43985</v>
      </c>
      <c r="N382">
        <v>55321609000</v>
      </c>
    </row>
    <row r="383" spans="13:14" x14ac:dyDescent="0.25">
      <c r="M383" s="37">
        <v>43986</v>
      </c>
      <c r="N383">
        <v>56214049000</v>
      </c>
    </row>
    <row r="384" spans="13:14" x14ac:dyDescent="0.25">
      <c r="M384" s="37">
        <v>43987</v>
      </c>
      <c r="N384">
        <v>57185954000</v>
      </c>
    </row>
    <row r="385" spans="13:14" x14ac:dyDescent="0.25">
      <c r="M385" s="37">
        <v>43992</v>
      </c>
      <c r="N385">
        <v>57935594000</v>
      </c>
    </row>
    <row r="386" spans="13:14" x14ac:dyDescent="0.25">
      <c r="M386" s="37">
        <v>43993</v>
      </c>
      <c r="N386">
        <v>57882007000</v>
      </c>
    </row>
    <row r="387" spans="13:14" x14ac:dyDescent="0.25">
      <c r="M387" s="37">
        <v>43998</v>
      </c>
      <c r="N387">
        <v>57475120000</v>
      </c>
    </row>
    <row r="388" spans="13:14" x14ac:dyDescent="0.25">
      <c r="M388" s="37">
        <v>43999</v>
      </c>
      <c r="N388">
        <v>56864988000</v>
      </c>
    </row>
    <row r="389" spans="13:14" x14ac:dyDescent="0.25">
      <c r="M389" s="37">
        <v>44001</v>
      </c>
      <c r="N389">
        <v>57508638000</v>
      </c>
    </row>
    <row r="390" spans="13:14" x14ac:dyDescent="0.25">
      <c r="M390" s="37">
        <v>44004</v>
      </c>
      <c r="N390">
        <v>56884285000</v>
      </c>
    </row>
    <row r="391" spans="13:14" x14ac:dyDescent="0.25">
      <c r="M391" s="37">
        <v>44005</v>
      </c>
      <c r="N391">
        <v>55993751000</v>
      </c>
    </row>
    <row r="392" spans="13:14" x14ac:dyDescent="0.25">
      <c r="M392" s="37">
        <v>44006</v>
      </c>
      <c r="N392">
        <v>56682384000</v>
      </c>
    </row>
    <row r="393" spans="13:14" x14ac:dyDescent="0.25">
      <c r="M393" s="37">
        <v>44008</v>
      </c>
      <c r="N393">
        <v>56929520000</v>
      </c>
    </row>
    <row r="394" spans="13:14" x14ac:dyDescent="0.25">
      <c r="M394" s="37">
        <v>44013</v>
      </c>
      <c r="N394">
        <v>57090294000</v>
      </c>
    </row>
    <row r="395" spans="13:14" x14ac:dyDescent="0.25">
      <c r="M395" s="37">
        <v>44014</v>
      </c>
      <c r="N395">
        <v>57532044000</v>
      </c>
    </row>
    <row r="396" spans="13:14" x14ac:dyDescent="0.25">
      <c r="M396" s="37">
        <v>44015</v>
      </c>
      <c r="N396">
        <v>59387387000</v>
      </c>
    </row>
    <row r="397" spans="13:14" x14ac:dyDescent="0.25">
      <c r="M397" s="37">
        <v>44020</v>
      </c>
      <c r="N397">
        <v>60505828000</v>
      </c>
    </row>
    <row r="398" spans="13:14" x14ac:dyDescent="0.25">
      <c r="M398" s="37">
        <v>44021</v>
      </c>
      <c r="N398">
        <v>60527413000</v>
      </c>
    </row>
    <row r="399" spans="13:14" x14ac:dyDescent="0.25">
      <c r="M399" s="37">
        <v>44025</v>
      </c>
      <c r="N399">
        <v>60888670000</v>
      </c>
    </row>
    <row r="400" spans="13:14" x14ac:dyDescent="0.25">
      <c r="M400" s="37">
        <v>44026</v>
      </c>
      <c r="N400">
        <v>61128770000</v>
      </c>
    </row>
    <row r="401" spans="13:14" x14ac:dyDescent="0.25">
      <c r="M401" s="37">
        <v>44028</v>
      </c>
      <c r="N401">
        <v>60894235000</v>
      </c>
    </row>
    <row r="402" spans="13:14" x14ac:dyDescent="0.25">
      <c r="M402" s="37">
        <v>44029</v>
      </c>
      <c r="N402">
        <v>61209831000</v>
      </c>
    </row>
    <row r="403" spans="13:14" x14ac:dyDescent="0.25">
      <c r="M403" s="37">
        <v>44034</v>
      </c>
      <c r="N403">
        <v>62133026000</v>
      </c>
    </row>
    <row r="404" spans="13:14" x14ac:dyDescent="0.25">
      <c r="M404" s="37">
        <v>44035</v>
      </c>
      <c r="N404">
        <v>62233521000</v>
      </c>
    </row>
    <row r="405" spans="13:14" x14ac:dyDescent="0.25">
      <c r="M405" s="37">
        <v>44039</v>
      </c>
      <c r="N405">
        <v>62035236000</v>
      </c>
    </row>
    <row r="406" spans="13:14" x14ac:dyDescent="0.25">
      <c r="M406" s="37">
        <v>44040</v>
      </c>
      <c r="N406">
        <v>63007544000</v>
      </c>
    </row>
    <row r="407" spans="13:14" x14ac:dyDescent="0.25">
      <c r="M407" s="37">
        <v>44041</v>
      </c>
      <c r="N407">
        <v>62854471000</v>
      </c>
    </row>
    <row r="408" spans="13:14" x14ac:dyDescent="0.25">
      <c r="M408" s="37">
        <v>44043</v>
      </c>
      <c r="N408">
        <v>63069101000</v>
      </c>
    </row>
    <row r="409" spans="13:14" x14ac:dyDescent="0.25">
      <c r="M409" s="37">
        <v>44046</v>
      </c>
      <c r="N409">
        <v>64101078000</v>
      </c>
    </row>
    <row r="410" spans="13:14" x14ac:dyDescent="0.25">
      <c r="M410" s="37">
        <v>44048</v>
      </c>
      <c r="N410">
        <v>64439173000</v>
      </c>
    </row>
    <row r="411" spans="13:14" x14ac:dyDescent="0.25">
      <c r="M411" s="37">
        <v>44049</v>
      </c>
      <c r="N411">
        <v>63239168000</v>
      </c>
    </row>
    <row r="412" spans="13:14" x14ac:dyDescent="0.25">
      <c r="M412" s="37">
        <v>44053</v>
      </c>
      <c r="N412">
        <v>63524820000</v>
      </c>
    </row>
    <row r="413" spans="13:14" x14ac:dyDescent="0.25">
      <c r="M413" s="37">
        <v>44055</v>
      </c>
      <c r="N413">
        <v>61603694000</v>
      </c>
    </row>
    <row r="414" spans="13:14" x14ac:dyDescent="0.25">
      <c r="M414" s="37">
        <v>44057</v>
      </c>
      <c r="N414">
        <v>61215196000</v>
      </c>
    </row>
    <row r="415" spans="13:14" x14ac:dyDescent="0.25">
      <c r="M415" s="37">
        <v>44060</v>
      </c>
      <c r="N415">
        <v>60590155000</v>
      </c>
    </row>
    <row r="416" spans="13:14" x14ac:dyDescent="0.25">
      <c r="M416" s="37">
        <v>44061</v>
      </c>
      <c r="N416">
        <v>61037786000</v>
      </c>
    </row>
    <row r="417" spans="13:14" x14ac:dyDescent="0.25">
      <c r="M417" s="37">
        <v>44063</v>
      </c>
      <c r="N417">
        <v>61978215000</v>
      </c>
    </row>
    <row r="418" spans="13:14" x14ac:dyDescent="0.25">
      <c r="M418" s="37">
        <v>44064</v>
      </c>
      <c r="N418">
        <v>62328791000</v>
      </c>
    </row>
    <row r="419" spans="13:14" x14ac:dyDescent="0.25">
      <c r="M419" s="37">
        <v>44069</v>
      </c>
      <c r="N419">
        <v>62551887000</v>
      </c>
    </row>
    <row r="420" spans="13:14" x14ac:dyDescent="0.25">
      <c r="M420" s="37">
        <v>44070</v>
      </c>
      <c r="N420">
        <v>61249585000</v>
      </c>
    </row>
    <row r="421" spans="13:14" x14ac:dyDescent="0.25">
      <c r="M421" s="37">
        <v>44071</v>
      </c>
      <c r="N421">
        <v>61454761000</v>
      </c>
    </row>
    <row r="422" spans="13:14" x14ac:dyDescent="0.25">
      <c r="M422" s="37">
        <v>44075</v>
      </c>
      <c r="N422">
        <v>60989218000</v>
      </c>
    </row>
    <row r="423" spans="13:14" x14ac:dyDescent="0.25">
      <c r="M423" s="37">
        <v>44077</v>
      </c>
      <c r="N423">
        <v>61434784000</v>
      </c>
    </row>
    <row r="424" spans="13:14" x14ac:dyDescent="0.25">
      <c r="M424" s="37">
        <v>44078</v>
      </c>
      <c r="N424">
        <v>61704248000</v>
      </c>
    </row>
    <row r="425" spans="13:14" x14ac:dyDescent="0.25">
      <c r="M425" s="37">
        <v>44083</v>
      </c>
      <c r="N425">
        <v>61467184000</v>
      </c>
    </row>
    <row r="426" spans="13:14" x14ac:dyDescent="0.25">
      <c r="M426" s="37">
        <v>44084</v>
      </c>
      <c r="N426">
        <v>61780269000</v>
      </c>
    </row>
    <row r="427" spans="13:14" x14ac:dyDescent="0.25">
      <c r="M427" s="37">
        <v>44088</v>
      </c>
      <c r="N427">
        <v>61386450000</v>
      </c>
    </row>
    <row r="428" spans="13:14" x14ac:dyDescent="0.25">
      <c r="M428" s="37">
        <v>44090</v>
      </c>
      <c r="N428">
        <v>60951036000</v>
      </c>
    </row>
    <row r="429" spans="13:14" x14ac:dyDescent="0.25">
      <c r="M429" s="37">
        <v>44091</v>
      </c>
      <c r="N429">
        <v>60715678000</v>
      </c>
    </row>
    <row r="430" spans="13:14" x14ac:dyDescent="0.25">
      <c r="M430" s="37">
        <v>44095</v>
      </c>
      <c r="N430">
        <v>60492269000</v>
      </c>
    </row>
    <row r="431" spans="13:14" x14ac:dyDescent="0.25">
      <c r="M431" s="37">
        <v>44096</v>
      </c>
      <c r="N431">
        <v>58972194000</v>
      </c>
    </row>
    <row r="432" spans="13:14" x14ac:dyDescent="0.25">
      <c r="M432" s="37">
        <v>44097</v>
      </c>
      <c r="N432">
        <v>59920071000</v>
      </c>
    </row>
    <row r="433" spans="13:14" x14ac:dyDescent="0.25">
      <c r="M433" s="37">
        <v>44099</v>
      </c>
      <c r="N433">
        <v>60344794000</v>
      </c>
    </row>
    <row r="434" spans="13:14" x14ac:dyDescent="0.25">
      <c r="M434" s="37">
        <v>44103</v>
      </c>
      <c r="N434">
        <v>58551850000</v>
      </c>
    </row>
    <row r="435" spans="13:14" x14ac:dyDescent="0.25">
      <c r="M435" s="37">
        <v>44105</v>
      </c>
      <c r="N435">
        <v>58766998000</v>
      </c>
    </row>
    <row r="436" spans="13:14" x14ac:dyDescent="0.25">
      <c r="M436" s="37">
        <v>44106</v>
      </c>
      <c r="N436">
        <v>59666133000</v>
      </c>
    </row>
    <row r="437" spans="13:14" x14ac:dyDescent="0.25">
      <c r="M437" s="37">
        <v>44110</v>
      </c>
      <c r="N437">
        <v>59430616000</v>
      </c>
    </row>
    <row r="438" spans="13:14" x14ac:dyDescent="0.25">
      <c r="M438" s="37">
        <v>44112</v>
      </c>
      <c r="N438">
        <v>59417550000</v>
      </c>
    </row>
    <row r="439" spans="13:14" x14ac:dyDescent="0.25">
      <c r="M439" s="37">
        <v>44116</v>
      </c>
      <c r="N439">
        <v>59840215000</v>
      </c>
    </row>
    <row r="440" spans="13:14" x14ac:dyDescent="0.25">
      <c r="M440" s="37">
        <v>44118</v>
      </c>
      <c r="N440">
        <v>60171549000</v>
      </c>
    </row>
    <row r="441" spans="13:14" x14ac:dyDescent="0.25">
      <c r="M441" s="37">
        <v>44119</v>
      </c>
      <c r="N441">
        <v>60684387000</v>
      </c>
    </row>
    <row r="442" spans="13:14" x14ac:dyDescent="0.25">
      <c r="M442" s="37">
        <v>44120</v>
      </c>
      <c r="N442">
        <v>60448149000</v>
      </c>
    </row>
    <row r="443" spans="13:14" x14ac:dyDescent="0.25">
      <c r="M443" s="37">
        <v>44124</v>
      </c>
      <c r="N443">
        <v>60978049000</v>
      </c>
    </row>
    <row r="444" spans="13:14" x14ac:dyDescent="0.25">
      <c r="M444" s="37">
        <v>44125</v>
      </c>
      <c r="N444">
        <v>61241767000</v>
      </c>
    </row>
    <row r="445" spans="13:14" x14ac:dyDescent="0.25">
      <c r="M445" s="37">
        <v>44127</v>
      </c>
      <c r="N445">
        <v>60714053000</v>
      </c>
    </row>
    <row r="446" spans="13:14" x14ac:dyDescent="0.25">
      <c r="M446" s="37">
        <v>44131</v>
      </c>
      <c r="N446">
        <v>60626350000</v>
      </c>
    </row>
    <row r="447" spans="13:14" x14ac:dyDescent="0.25">
      <c r="M447" s="37">
        <v>44132</v>
      </c>
      <c r="N447">
        <v>60476909000</v>
      </c>
    </row>
    <row r="448" spans="13:14" x14ac:dyDescent="0.25">
      <c r="M448" s="37">
        <v>44133</v>
      </c>
      <c r="N448">
        <v>60831667000</v>
      </c>
    </row>
    <row r="449" spans="13:14" x14ac:dyDescent="0.25">
      <c r="M449" s="37">
        <v>44140</v>
      </c>
      <c r="N449">
        <v>60897107000</v>
      </c>
    </row>
    <row r="450" spans="13:14" x14ac:dyDescent="0.25">
      <c r="M450" s="37">
        <v>44141</v>
      </c>
      <c r="N450">
        <v>61495377000</v>
      </c>
    </row>
    <row r="451" spans="13:14" x14ac:dyDescent="0.25">
      <c r="M451" s="37">
        <v>44145</v>
      </c>
      <c r="N451">
        <v>62616661000</v>
      </c>
    </row>
    <row r="452" spans="13:14" x14ac:dyDescent="0.25">
      <c r="M452" s="37">
        <v>44146</v>
      </c>
      <c r="N452">
        <v>62026025000</v>
      </c>
    </row>
    <row r="453" spans="13:14" x14ac:dyDescent="0.25">
      <c r="M453" s="37">
        <v>44148</v>
      </c>
      <c r="N453">
        <v>61502662000</v>
      </c>
    </row>
    <row r="454" spans="13:14" x14ac:dyDescent="0.25">
      <c r="M454" s="37">
        <v>44152</v>
      </c>
      <c r="N454">
        <v>60360252000</v>
      </c>
    </row>
    <row r="455" spans="13:14" x14ac:dyDescent="0.25">
      <c r="M455" s="37">
        <v>44153</v>
      </c>
      <c r="N455">
        <v>60501080000</v>
      </c>
    </row>
    <row r="456" spans="13:14" x14ac:dyDescent="0.25">
      <c r="M456" s="37">
        <v>44154</v>
      </c>
      <c r="N456">
        <v>61700600000</v>
      </c>
    </row>
    <row r="457" spans="13:14" x14ac:dyDescent="0.25">
      <c r="M457" s="37">
        <v>44155</v>
      </c>
      <c r="N457">
        <v>61698004000</v>
      </c>
    </row>
    <row r="458" spans="13:14" x14ac:dyDescent="0.25">
      <c r="M458" s="37">
        <v>44159</v>
      </c>
      <c r="N458">
        <v>61207520000</v>
      </c>
    </row>
    <row r="459" spans="13:14" x14ac:dyDescent="0.25">
      <c r="M459" s="37">
        <v>44160</v>
      </c>
      <c r="N459">
        <v>61381690000</v>
      </c>
    </row>
    <row r="460" spans="13:14" x14ac:dyDescent="0.25">
      <c r="M460" s="37">
        <v>44161</v>
      </c>
      <c r="N460">
        <v>62196270000</v>
      </c>
    </row>
    <row r="461" spans="13:14" x14ac:dyDescent="0.25">
      <c r="M461" s="37">
        <v>44165</v>
      </c>
      <c r="N461">
        <v>62576472000</v>
      </c>
    </row>
    <row r="462" spans="13:14" x14ac:dyDescent="0.25">
      <c r="M462" s="37">
        <v>44166</v>
      </c>
      <c r="N462">
        <v>63335679000</v>
      </c>
    </row>
    <row r="463" spans="13:14" x14ac:dyDescent="0.25">
      <c r="M463" s="37">
        <v>44167</v>
      </c>
      <c r="N463">
        <v>64402187000</v>
      </c>
    </row>
    <row r="464" spans="13:14" x14ac:dyDescent="0.25">
      <c r="M464" s="37">
        <v>44168</v>
      </c>
      <c r="N464">
        <v>64886813000</v>
      </c>
    </row>
    <row r="465" spans="13:14" x14ac:dyDescent="0.25">
      <c r="M465" s="37">
        <v>44169</v>
      </c>
      <c r="N465">
        <v>65932222000</v>
      </c>
    </row>
    <row r="466" spans="13:14" x14ac:dyDescent="0.25">
      <c r="M466" s="37">
        <v>44173</v>
      </c>
      <c r="N466">
        <v>65644382000</v>
      </c>
    </row>
    <row r="467" spans="13:14" x14ac:dyDescent="0.25">
      <c r="M467" s="37">
        <v>44174</v>
      </c>
      <c r="N467">
        <v>65864005000</v>
      </c>
    </row>
    <row r="468" spans="13:14" x14ac:dyDescent="0.25">
      <c r="M468" s="37">
        <v>44175</v>
      </c>
      <c r="N468">
        <v>66408256000</v>
      </c>
    </row>
    <row r="469" spans="13:14" x14ac:dyDescent="0.25">
      <c r="M469" s="37">
        <v>44176</v>
      </c>
      <c r="N469">
        <v>67432179000</v>
      </c>
    </row>
    <row r="470" spans="13:14" x14ac:dyDescent="0.25">
      <c r="M470" s="37">
        <v>44180</v>
      </c>
      <c r="N470">
        <v>67840360000</v>
      </c>
    </row>
    <row r="471" spans="13:14" x14ac:dyDescent="0.25">
      <c r="M471" s="37">
        <v>44181</v>
      </c>
      <c r="N471">
        <v>68105960000</v>
      </c>
    </row>
    <row r="472" spans="13:14" x14ac:dyDescent="0.25">
      <c r="M472" s="37">
        <v>44182</v>
      </c>
      <c r="N472">
        <v>67893897000</v>
      </c>
    </row>
    <row r="473" spans="13:14" x14ac:dyDescent="0.25">
      <c r="M473" s="37">
        <v>44183</v>
      </c>
      <c r="N473">
        <v>67993819000</v>
      </c>
    </row>
    <row r="474" spans="13:14" x14ac:dyDescent="0.25">
      <c r="M474" s="37">
        <v>44187</v>
      </c>
      <c r="N474">
        <v>68215186000</v>
      </c>
    </row>
    <row r="475" spans="13:14" x14ac:dyDescent="0.25">
      <c r="M475" s="37">
        <v>44188</v>
      </c>
      <c r="N475">
        <v>68101776000</v>
      </c>
    </row>
    <row r="476" spans="13:14" x14ac:dyDescent="0.25">
      <c r="M476" s="37">
        <v>44200</v>
      </c>
      <c r="N476">
        <v>69661172000</v>
      </c>
    </row>
    <row r="477" spans="13:14" x14ac:dyDescent="0.25">
      <c r="M477" s="37">
        <v>44201</v>
      </c>
      <c r="N477">
        <v>69743318000</v>
      </c>
    </row>
    <row r="478" spans="13:14" x14ac:dyDescent="0.25">
      <c r="M478" s="37">
        <v>44202</v>
      </c>
      <c r="N478">
        <v>69557089000</v>
      </c>
    </row>
    <row r="479" spans="13:14" x14ac:dyDescent="0.25">
      <c r="M479" s="37">
        <v>44203</v>
      </c>
      <c r="N479">
        <v>69143560000</v>
      </c>
    </row>
    <row r="480" spans="13:14" x14ac:dyDescent="0.25">
      <c r="M480" s="37">
        <v>44204</v>
      </c>
      <c r="N480">
        <v>68495355000</v>
      </c>
    </row>
    <row r="481" spans="13:14" x14ac:dyDescent="0.25">
      <c r="M481" s="37">
        <v>44208</v>
      </c>
      <c r="N481">
        <v>67648847000</v>
      </c>
    </row>
    <row r="482" spans="13:14" x14ac:dyDescent="0.25">
      <c r="M482" s="37">
        <v>44209</v>
      </c>
      <c r="N482">
        <v>68455472000</v>
      </c>
    </row>
    <row r="483" spans="13:14" x14ac:dyDescent="0.25">
      <c r="M483" s="37">
        <v>44210</v>
      </c>
      <c r="N483">
        <v>67981292000</v>
      </c>
    </row>
    <row r="484" spans="13:14" x14ac:dyDescent="0.25">
      <c r="M484" s="37">
        <v>44211</v>
      </c>
      <c r="N484">
        <v>68547094000</v>
      </c>
    </row>
    <row r="485" spans="13:14" x14ac:dyDescent="0.25">
      <c r="M485" s="37">
        <v>44215</v>
      </c>
      <c r="N485">
        <v>67805722000</v>
      </c>
    </row>
    <row r="486" spans="13:14" x14ac:dyDescent="0.25">
      <c r="M486" s="37">
        <v>44216</v>
      </c>
      <c r="N486">
        <v>67346545000</v>
      </c>
    </row>
    <row r="487" spans="13:14" x14ac:dyDescent="0.25">
      <c r="M487" s="37">
        <v>44217</v>
      </c>
      <c r="N487">
        <v>68846759000</v>
      </c>
    </row>
    <row r="488" spans="13:14" x14ac:dyDescent="0.25">
      <c r="M488" s="37">
        <v>44218</v>
      </c>
      <c r="N488">
        <v>68527345000</v>
      </c>
    </row>
    <row r="489" spans="13:14" x14ac:dyDescent="0.25">
      <c r="M489" s="37">
        <v>44222</v>
      </c>
      <c r="N489">
        <v>68192214000</v>
      </c>
    </row>
    <row r="490" spans="13:14" x14ac:dyDescent="0.25">
      <c r="M490" s="37">
        <v>44223</v>
      </c>
      <c r="N490">
        <v>68586688000</v>
      </c>
    </row>
    <row r="491" spans="13:14" x14ac:dyDescent="0.25">
      <c r="M491" s="37">
        <v>44225</v>
      </c>
      <c r="N491">
        <v>69030725000</v>
      </c>
    </row>
    <row r="492" spans="13:14" x14ac:dyDescent="0.25">
      <c r="M492" s="37">
        <v>44229</v>
      </c>
      <c r="N492">
        <v>69221659000</v>
      </c>
    </row>
    <row r="493" spans="13:14" x14ac:dyDescent="0.25">
      <c r="M493" s="37">
        <v>44230</v>
      </c>
      <c r="N493">
        <v>70622998000</v>
      </c>
    </row>
    <row r="494" spans="13:14" x14ac:dyDescent="0.25">
      <c r="M494" s="37">
        <v>44232</v>
      </c>
      <c r="N494">
        <v>74978146000</v>
      </c>
    </row>
    <row r="495" spans="13:14" x14ac:dyDescent="0.25">
      <c r="M495" s="37">
        <v>44236</v>
      </c>
      <c r="N495">
        <v>75040763000</v>
      </c>
    </row>
    <row r="496" spans="13:14" x14ac:dyDescent="0.25">
      <c r="M496" s="37">
        <v>44237</v>
      </c>
      <c r="N496">
        <v>74602503000</v>
      </c>
    </row>
    <row r="497" spans="13:14" x14ac:dyDescent="0.25">
      <c r="M497" s="37">
        <v>44238</v>
      </c>
      <c r="N497">
        <v>74777137000</v>
      </c>
    </row>
    <row r="498" spans="13:14" x14ac:dyDescent="0.25">
      <c r="M498" s="37">
        <v>44239</v>
      </c>
      <c r="N498">
        <v>74838106000</v>
      </c>
    </row>
    <row r="499" spans="13:14" x14ac:dyDescent="0.25">
      <c r="M499" s="37">
        <v>44245</v>
      </c>
      <c r="N499">
        <v>74236911000</v>
      </c>
    </row>
    <row r="500" spans="13:14" x14ac:dyDescent="0.25">
      <c r="M500" s="37">
        <v>44246</v>
      </c>
      <c r="N500">
        <v>74276646000</v>
      </c>
    </row>
    <row r="501" spans="13:14" x14ac:dyDescent="0.25">
      <c r="M501" s="37">
        <v>44250</v>
      </c>
      <c r="N501">
        <v>72780112000</v>
      </c>
    </row>
    <row r="502" spans="13:14" x14ac:dyDescent="0.25">
      <c r="M502" s="37">
        <v>44251</v>
      </c>
      <c r="N502">
        <v>72386511000</v>
      </c>
    </row>
    <row r="503" spans="13:14" x14ac:dyDescent="0.25">
      <c r="M503" s="37">
        <v>44252</v>
      </c>
      <c r="N503">
        <v>76599784000</v>
      </c>
    </row>
    <row r="504" spans="13:14" x14ac:dyDescent="0.25">
      <c r="M504" s="37">
        <v>44253</v>
      </c>
      <c r="N504">
        <v>76478899000</v>
      </c>
    </row>
    <row r="505" spans="13:14" x14ac:dyDescent="0.25">
      <c r="M505" s="37">
        <v>44257</v>
      </c>
      <c r="N505">
        <v>75967748000</v>
      </c>
    </row>
    <row r="506" spans="13:14" x14ac:dyDescent="0.25">
      <c r="M506" s="37">
        <v>44258</v>
      </c>
      <c r="N506">
        <v>75600682000</v>
      </c>
    </row>
    <row r="507" spans="13:14" x14ac:dyDescent="0.25">
      <c r="M507" s="37">
        <v>44259</v>
      </c>
      <c r="N507">
        <v>76073686000</v>
      </c>
    </row>
    <row r="508" spans="13:14" x14ac:dyDescent="0.25">
      <c r="M508" s="37">
        <v>44260</v>
      </c>
      <c r="N508">
        <v>77056910000</v>
      </c>
    </row>
    <row r="509" spans="13:14" x14ac:dyDescent="0.25">
      <c r="M509" s="37">
        <v>44264</v>
      </c>
      <c r="N509">
        <v>76989282000</v>
      </c>
    </row>
    <row r="510" spans="13:14" x14ac:dyDescent="0.25">
      <c r="M510" s="37">
        <v>44265</v>
      </c>
      <c r="N510">
        <v>76194237000</v>
      </c>
    </row>
    <row r="511" spans="13:14" x14ac:dyDescent="0.25">
      <c r="M511" s="37">
        <v>44266</v>
      </c>
      <c r="N511">
        <v>78682767000</v>
      </c>
    </row>
    <row r="512" spans="13:14" x14ac:dyDescent="0.25">
      <c r="M512" s="37">
        <v>44267</v>
      </c>
      <c r="N512">
        <v>79431228000</v>
      </c>
    </row>
    <row r="513" spans="13:14" x14ac:dyDescent="0.25">
      <c r="M513" s="37">
        <v>44271</v>
      </c>
      <c r="N513">
        <v>79416058000</v>
      </c>
    </row>
    <row r="514" spans="13:14" x14ac:dyDescent="0.25">
      <c r="M514" s="37">
        <v>44272</v>
      </c>
      <c r="N514">
        <v>79680414000</v>
      </c>
    </row>
    <row r="515" spans="13:14" x14ac:dyDescent="0.25">
      <c r="M515" s="37">
        <v>44273</v>
      </c>
      <c r="N515">
        <v>79618789000</v>
      </c>
    </row>
    <row r="516" spans="13:14" x14ac:dyDescent="0.25">
      <c r="M516" s="37">
        <v>44274</v>
      </c>
      <c r="N516">
        <v>79598573000</v>
      </c>
    </row>
    <row r="517" spans="13:14" x14ac:dyDescent="0.25">
      <c r="M517" s="37">
        <v>44278</v>
      </c>
      <c r="N517">
        <v>77525609000</v>
      </c>
    </row>
    <row r="518" spans="13:14" x14ac:dyDescent="0.25">
      <c r="M518" s="37">
        <v>44279</v>
      </c>
      <c r="N518">
        <v>77068145000</v>
      </c>
    </row>
    <row r="519" spans="13:14" x14ac:dyDescent="0.25">
      <c r="M519" s="37">
        <v>44280</v>
      </c>
      <c r="N519">
        <v>78166858000</v>
      </c>
    </row>
    <row r="520" spans="13:14" x14ac:dyDescent="0.25">
      <c r="M520" s="37">
        <v>44281</v>
      </c>
      <c r="N520">
        <v>78674968000</v>
      </c>
    </row>
    <row r="521" spans="13:14" x14ac:dyDescent="0.25">
      <c r="M521" s="37">
        <v>44285</v>
      </c>
      <c r="N521">
        <v>78832856000</v>
      </c>
    </row>
    <row r="522" spans="13:14" x14ac:dyDescent="0.25">
      <c r="M522" s="37">
        <v>44286</v>
      </c>
      <c r="N522">
        <v>79037677000</v>
      </c>
    </row>
    <row r="523" spans="13:14" x14ac:dyDescent="0.25">
      <c r="M523" s="37">
        <v>44287</v>
      </c>
      <c r="N523">
        <v>79545112000</v>
      </c>
    </row>
    <row r="524" spans="13:14" x14ac:dyDescent="0.25">
      <c r="M524" s="37">
        <v>44292</v>
      </c>
      <c r="N524">
        <v>78952975000</v>
      </c>
    </row>
    <row r="525" spans="13:14" x14ac:dyDescent="0.25">
      <c r="M525" s="37">
        <v>44293</v>
      </c>
      <c r="N525">
        <v>78780839000</v>
      </c>
    </row>
    <row r="526" spans="13:14" x14ac:dyDescent="0.25">
      <c r="M526" s="37">
        <v>44294</v>
      </c>
      <c r="N526">
        <v>83260678000</v>
      </c>
    </row>
    <row r="527" spans="13:14" x14ac:dyDescent="0.25">
      <c r="M527" s="37">
        <v>44295</v>
      </c>
      <c r="N527">
        <v>84623674000</v>
      </c>
    </row>
    <row r="528" spans="13:14" x14ac:dyDescent="0.25">
      <c r="M528" s="37">
        <v>44299</v>
      </c>
      <c r="N528">
        <v>84244026000</v>
      </c>
    </row>
    <row r="529" spans="13:14" x14ac:dyDescent="0.25">
      <c r="M529" s="37">
        <v>44301</v>
      </c>
      <c r="N529">
        <v>84167858000</v>
      </c>
    </row>
    <row r="530" spans="13:14" x14ac:dyDescent="0.25">
      <c r="M530" s="37">
        <v>44302</v>
      </c>
      <c r="N530">
        <v>84360355000</v>
      </c>
    </row>
    <row r="531" spans="13:14" x14ac:dyDescent="0.25">
      <c r="M531" s="37">
        <v>44306</v>
      </c>
      <c r="N531">
        <v>85022844000</v>
      </c>
    </row>
    <row r="532" spans="13:14" x14ac:dyDescent="0.25">
      <c r="M532" s="37">
        <v>44309</v>
      </c>
      <c r="N532">
        <v>86648707000</v>
      </c>
    </row>
    <row r="533" spans="13:14" x14ac:dyDescent="0.25">
      <c r="M533" s="37">
        <v>44313</v>
      </c>
      <c r="N533">
        <v>86882014000</v>
      </c>
    </row>
    <row r="534" spans="13:14" x14ac:dyDescent="0.25">
      <c r="M534" s="37">
        <v>44314</v>
      </c>
      <c r="N534">
        <v>86566297000</v>
      </c>
    </row>
    <row r="535" spans="13:14" x14ac:dyDescent="0.25">
      <c r="M535" s="37">
        <v>44316</v>
      </c>
      <c r="N535">
        <v>86747275000</v>
      </c>
    </row>
    <row r="536" spans="13:14" x14ac:dyDescent="0.25">
      <c r="M536" s="37">
        <v>44320</v>
      </c>
      <c r="N536">
        <v>86055935000</v>
      </c>
    </row>
    <row r="537" spans="13:14" x14ac:dyDescent="0.25">
      <c r="M537" s="37">
        <v>44321</v>
      </c>
      <c r="N537">
        <v>85119686000</v>
      </c>
    </row>
    <row r="538" spans="13:14" x14ac:dyDescent="0.25">
      <c r="M538" s="37">
        <v>44322</v>
      </c>
      <c r="N538">
        <v>85465202000</v>
      </c>
    </row>
    <row r="539" spans="13:14" x14ac:dyDescent="0.25">
      <c r="M539" s="37">
        <v>44323</v>
      </c>
      <c r="N539">
        <v>85547531000</v>
      </c>
    </row>
    <row r="540" spans="13:14" x14ac:dyDescent="0.25">
      <c r="M540" s="37">
        <v>44327</v>
      </c>
      <c r="N540">
        <v>87015473000</v>
      </c>
    </row>
    <row r="541" spans="13:14" x14ac:dyDescent="0.25">
      <c r="M541" s="37">
        <v>44328</v>
      </c>
      <c r="N541">
        <v>87611964000</v>
      </c>
    </row>
    <row r="542" spans="13:14" x14ac:dyDescent="0.25">
      <c r="M542" s="37">
        <v>44329</v>
      </c>
      <c r="N542">
        <v>87178524000</v>
      </c>
    </row>
    <row r="543" spans="13:14" x14ac:dyDescent="0.25">
      <c r="M543" s="37">
        <v>44330</v>
      </c>
      <c r="N543">
        <v>87447135000</v>
      </c>
    </row>
    <row r="544" spans="13:14" x14ac:dyDescent="0.25">
      <c r="M544" s="37">
        <v>44334</v>
      </c>
      <c r="N544">
        <v>86356977000</v>
      </c>
    </row>
    <row r="545" spans="13:14" x14ac:dyDescent="0.25">
      <c r="M545" s="37">
        <v>44335</v>
      </c>
      <c r="N545">
        <v>84795577000</v>
      </c>
    </row>
    <row r="546" spans="13:14" x14ac:dyDescent="0.25">
      <c r="M546" s="37">
        <v>44336</v>
      </c>
      <c r="N546">
        <v>91671964000</v>
      </c>
    </row>
    <row r="547" spans="13:14" x14ac:dyDescent="0.25">
      <c r="M547" s="37">
        <v>44337</v>
      </c>
      <c r="N547">
        <v>92440145000</v>
      </c>
    </row>
    <row r="548" spans="13:14" x14ac:dyDescent="0.25">
      <c r="M548" s="37">
        <v>44342</v>
      </c>
      <c r="N548">
        <v>85395064000</v>
      </c>
    </row>
    <row r="549" spans="13:14" x14ac:dyDescent="0.25">
      <c r="M549" s="37">
        <v>44343</v>
      </c>
      <c r="N549">
        <v>85562556000</v>
      </c>
    </row>
    <row r="550" spans="13:14" x14ac:dyDescent="0.25">
      <c r="M550" s="37">
        <v>44344</v>
      </c>
      <c r="N550">
        <v>86087162000</v>
      </c>
    </row>
    <row r="551" spans="13:14" x14ac:dyDescent="0.25">
      <c r="M551" s="37">
        <v>44348</v>
      </c>
      <c r="N551">
        <v>93256931000</v>
      </c>
    </row>
    <row r="552" spans="13:14" x14ac:dyDescent="0.25">
      <c r="M552" s="37">
        <v>44349</v>
      </c>
      <c r="N552">
        <v>93985377000</v>
      </c>
    </row>
    <row r="553" spans="13:14" x14ac:dyDescent="0.25">
      <c r="M553" s="37">
        <v>44355</v>
      </c>
      <c r="N553">
        <v>98613961000</v>
      </c>
    </row>
    <row r="554" spans="13:14" x14ac:dyDescent="0.25">
      <c r="M554" s="37">
        <v>44356</v>
      </c>
      <c r="N554">
        <v>98823812000</v>
      </c>
    </row>
    <row r="555" spans="13:14" x14ac:dyDescent="0.25">
      <c r="M555" s="37">
        <v>44357</v>
      </c>
      <c r="N555">
        <v>98964041000</v>
      </c>
    </row>
    <row r="556" spans="13:14" x14ac:dyDescent="0.25">
      <c r="M556" s="37">
        <v>44358</v>
      </c>
      <c r="N556">
        <v>98497873000</v>
      </c>
    </row>
    <row r="557" spans="13:14" x14ac:dyDescent="0.25">
      <c r="M557" s="37">
        <v>44363</v>
      </c>
      <c r="N557">
        <v>98336215000</v>
      </c>
    </row>
    <row r="558" spans="13:14" x14ac:dyDescent="0.25">
      <c r="M558" s="37">
        <v>44364</v>
      </c>
      <c r="N558">
        <v>101741728000</v>
      </c>
    </row>
    <row r="559" spans="13:14" x14ac:dyDescent="0.25">
      <c r="M559" s="37">
        <v>44365</v>
      </c>
      <c r="N559">
        <v>101616670000</v>
      </c>
    </row>
    <row r="560" spans="13:14" x14ac:dyDescent="0.25">
      <c r="M560" s="37">
        <v>44369</v>
      </c>
      <c r="N560">
        <v>101134274000</v>
      </c>
    </row>
    <row r="561" spans="13:14" x14ac:dyDescent="0.25">
      <c r="M561" s="37">
        <v>44370</v>
      </c>
      <c r="N561">
        <v>100853131000</v>
      </c>
    </row>
    <row r="562" spans="13:14" x14ac:dyDescent="0.25">
      <c r="M562" s="37">
        <v>44371</v>
      </c>
      <c r="N562">
        <v>101117407000</v>
      </c>
    </row>
    <row r="563" spans="13:14" x14ac:dyDescent="0.25">
      <c r="M563" s="37">
        <v>44372</v>
      </c>
      <c r="N563">
        <v>101552404000</v>
      </c>
    </row>
    <row r="564" spans="13:14" x14ac:dyDescent="0.25">
      <c r="M564" s="37">
        <v>44376</v>
      </c>
      <c r="N564">
        <v>101339689000</v>
      </c>
    </row>
    <row r="565" spans="13:14" x14ac:dyDescent="0.25">
      <c r="M565" s="37">
        <v>44377</v>
      </c>
      <c r="N565">
        <v>101329887000</v>
      </c>
    </row>
    <row r="566" spans="13:14" x14ac:dyDescent="0.25">
      <c r="M566" s="37">
        <v>44378</v>
      </c>
      <c r="N566">
        <v>101941566000</v>
      </c>
    </row>
    <row r="567" spans="13:14" x14ac:dyDescent="0.25">
      <c r="M567" s="37">
        <v>44379</v>
      </c>
      <c r="N567">
        <v>102025314000</v>
      </c>
    </row>
    <row r="568" spans="13:14" x14ac:dyDescent="0.25">
      <c r="M568" s="37">
        <v>44384</v>
      </c>
      <c r="N568">
        <v>102229201000</v>
      </c>
    </row>
    <row r="569" spans="13:14" x14ac:dyDescent="0.25">
      <c r="M569" s="37">
        <v>44385</v>
      </c>
      <c r="N569">
        <v>102944963000</v>
      </c>
    </row>
    <row r="570" spans="13:14" x14ac:dyDescent="0.25">
      <c r="M570" s="37">
        <v>44389</v>
      </c>
      <c r="N570">
        <v>102786135000</v>
      </c>
    </row>
    <row r="571" spans="13:14" x14ac:dyDescent="0.25">
      <c r="M571" s="37">
        <v>44390</v>
      </c>
      <c r="N571">
        <v>102533186000</v>
      </c>
    </row>
    <row r="572" spans="13:14" x14ac:dyDescent="0.25">
      <c r="M572" s="37">
        <v>44391</v>
      </c>
      <c r="N572">
        <v>102214834000</v>
      </c>
    </row>
    <row r="573" spans="13:14" x14ac:dyDescent="0.25">
      <c r="M573" s="37">
        <v>44392</v>
      </c>
      <c r="N573">
        <v>104277977000</v>
      </c>
    </row>
    <row r="574" spans="13:14" x14ac:dyDescent="0.25">
      <c r="M574" s="37">
        <v>44393</v>
      </c>
      <c r="N574">
        <v>104915742000</v>
      </c>
    </row>
    <row r="575" spans="13:14" x14ac:dyDescent="0.25">
      <c r="M575" s="37">
        <v>44397</v>
      </c>
      <c r="N575">
        <v>105498938000</v>
      </c>
    </row>
    <row r="576" spans="13:14" x14ac:dyDescent="0.25">
      <c r="M576" s="37">
        <v>44399</v>
      </c>
      <c r="N576">
        <v>105739453000</v>
      </c>
    </row>
    <row r="577" spans="13:14" x14ac:dyDescent="0.25">
      <c r="M577" s="37">
        <v>44400</v>
      </c>
      <c r="N577">
        <v>105853654000</v>
      </c>
    </row>
    <row r="578" spans="13:14" x14ac:dyDescent="0.25">
      <c r="M578" s="37">
        <v>44404</v>
      </c>
      <c r="N578">
        <v>104251872000</v>
      </c>
    </row>
    <row r="579" spans="13:14" x14ac:dyDescent="0.25">
      <c r="M579" s="37">
        <v>44405</v>
      </c>
      <c r="N579">
        <v>103525035000</v>
      </c>
    </row>
    <row r="580" spans="13:14" x14ac:dyDescent="0.25">
      <c r="M580" s="37">
        <v>44406</v>
      </c>
      <c r="N580">
        <v>108235001000</v>
      </c>
    </row>
    <row r="581" spans="13:14" x14ac:dyDescent="0.25">
      <c r="M581" s="37">
        <v>44407</v>
      </c>
      <c r="N581">
        <v>108654931000</v>
      </c>
    </row>
    <row r="582" spans="13:14" x14ac:dyDescent="0.25">
      <c r="M582" s="37">
        <v>44411</v>
      </c>
      <c r="N582">
        <v>107717499000</v>
      </c>
    </row>
    <row r="583" spans="13:14" x14ac:dyDescent="0.25">
      <c r="M583" s="37">
        <v>44412</v>
      </c>
      <c r="N583">
        <v>108511659000</v>
      </c>
    </row>
    <row r="584" spans="13:14" x14ac:dyDescent="0.25">
      <c r="M584" s="37">
        <v>44413</v>
      </c>
      <c r="N584">
        <v>108466742000</v>
      </c>
    </row>
    <row r="585" spans="13:14" x14ac:dyDescent="0.25">
      <c r="M585" s="37">
        <v>44417</v>
      </c>
      <c r="N585">
        <v>107368871000</v>
      </c>
    </row>
    <row r="586" spans="13:14" x14ac:dyDescent="0.25">
      <c r="M586" s="37">
        <v>44418</v>
      </c>
      <c r="N586">
        <v>105542176000</v>
      </c>
    </row>
    <row r="587" spans="13:14" x14ac:dyDescent="0.25">
      <c r="M587" s="37">
        <v>44419</v>
      </c>
      <c r="N587">
        <v>105529052000</v>
      </c>
    </row>
    <row r="588" spans="13:14" x14ac:dyDescent="0.25">
      <c r="M588" s="37">
        <v>44420</v>
      </c>
      <c r="N588">
        <v>109514570000</v>
      </c>
    </row>
    <row r="589" spans="13:14" x14ac:dyDescent="0.25">
      <c r="M589" s="37">
        <v>44421</v>
      </c>
      <c r="N589">
        <v>109191300000</v>
      </c>
    </row>
    <row r="590" spans="13:14" x14ac:dyDescent="0.25">
      <c r="M590" s="37">
        <v>44425</v>
      </c>
      <c r="N590">
        <v>107570742000</v>
      </c>
    </row>
    <row r="591" spans="13:14" x14ac:dyDescent="0.25">
      <c r="M591" s="37">
        <v>44426</v>
      </c>
      <c r="N591">
        <v>107576354000</v>
      </c>
    </row>
    <row r="592" spans="13:14" x14ac:dyDescent="0.25">
      <c r="M592" s="37">
        <v>44427</v>
      </c>
      <c r="N592">
        <v>106005853000</v>
      </c>
    </row>
    <row r="593" spans="13:14" x14ac:dyDescent="0.25">
      <c r="M593" s="37">
        <v>44428</v>
      </c>
      <c r="N593">
        <v>107217597000</v>
      </c>
    </row>
    <row r="594" spans="13:14" x14ac:dyDescent="0.25">
      <c r="M594" s="37">
        <v>44432</v>
      </c>
      <c r="N594">
        <v>106906034000</v>
      </c>
    </row>
    <row r="595" spans="13:14" x14ac:dyDescent="0.25">
      <c r="M595" s="37">
        <v>44433</v>
      </c>
      <c r="N595">
        <v>108771893000</v>
      </c>
    </row>
    <row r="596" spans="13:14" x14ac:dyDescent="0.25">
      <c r="M596" s="37">
        <v>44434</v>
      </c>
      <c r="N596">
        <v>110724216000</v>
      </c>
    </row>
    <row r="597" spans="13:14" x14ac:dyDescent="0.25">
      <c r="M597" s="37">
        <v>44435</v>
      </c>
      <c r="N597">
        <v>110535865000</v>
      </c>
    </row>
    <row r="598" spans="13:14" x14ac:dyDescent="0.25">
      <c r="M598" s="37">
        <v>44440</v>
      </c>
      <c r="N598">
        <v>109740196000</v>
      </c>
    </row>
    <row r="599" spans="13:14" x14ac:dyDescent="0.25">
      <c r="M599" s="37">
        <v>44441</v>
      </c>
      <c r="N599">
        <v>109935584000</v>
      </c>
    </row>
    <row r="600" spans="13:14" x14ac:dyDescent="0.25">
      <c r="M600" s="37">
        <v>44442</v>
      </c>
      <c r="N600">
        <v>109128580000</v>
      </c>
    </row>
    <row r="601" spans="13:14" x14ac:dyDescent="0.25">
      <c r="M601" s="37">
        <v>44449</v>
      </c>
      <c r="N601">
        <v>110915736000</v>
      </c>
    </row>
    <row r="602" spans="13:14" x14ac:dyDescent="0.25">
      <c r="M602" s="37">
        <v>44453</v>
      </c>
      <c r="N602">
        <v>111655306000</v>
      </c>
    </row>
    <row r="603" spans="13:14" x14ac:dyDescent="0.25">
      <c r="M603" s="37">
        <v>44454</v>
      </c>
      <c r="N603">
        <v>111686413000</v>
      </c>
    </row>
    <row r="604" spans="13:14" x14ac:dyDescent="0.25">
      <c r="M604" s="37">
        <v>44455</v>
      </c>
      <c r="N604">
        <v>111754196000</v>
      </c>
    </row>
    <row r="605" spans="13:14" x14ac:dyDescent="0.25">
      <c r="M605" s="37">
        <v>44456</v>
      </c>
      <c r="N605">
        <v>111210985000</v>
      </c>
    </row>
    <row r="606" spans="13:14" x14ac:dyDescent="0.25">
      <c r="M606" s="37">
        <v>44461</v>
      </c>
      <c r="N606">
        <v>110768800000</v>
      </c>
    </row>
    <row r="607" spans="13:14" x14ac:dyDescent="0.25">
      <c r="M607" s="37">
        <v>44462</v>
      </c>
      <c r="N607">
        <v>113076807000</v>
      </c>
    </row>
    <row r="608" spans="13:14" x14ac:dyDescent="0.25">
      <c r="M608" s="37">
        <v>44463</v>
      </c>
      <c r="N608">
        <v>112648340000</v>
      </c>
    </row>
    <row r="609" spans="13:14" x14ac:dyDescent="0.25">
      <c r="M609" s="37">
        <v>44467</v>
      </c>
      <c r="N609">
        <v>112619483000</v>
      </c>
    </row>
    <row r="610" spans="13:14" x14ac:dyDescent="0.25">
      <c r="M610" s="37">
        <v>44468</v>
      </c>
      <c r="N610">
        <v>112070965000</v>
      </c>
    </row>
    <row r="611" spans="13:14" x14ac:dyDescent="0.25">
      <c r="M611" s="37">
        <v>44469</v>
      </c>
      <c r="N611">
        <v>112150127000</v>
      </c>
    </row>
    <row r="612" spans="13:14" x14ac:dyDescent="0.25">
      <c r="M612" s="37">
        <v>44470</v>
      </c>
      <c r="N612">
        <v>111411718000</v>
      </c>
    </row>
    <row r="613" spans="13:14" x14ac:dyDescent="0.25">
      <c r="M613" s="37">
        <v>44474</v>
      </c>
      <c r="N613">
        <v>111987761000</v>
      </c>
    </row>
    <row r="614" spans="13:14" x14ac:dyDescent="0.25">
      <c r="M614" s="37">
        <v>44475</v>
      </c>
      <c r="N614">
        <v>111528693000</v>
      </c>
    </row>
    <row r="615" spans="13:14" x14ac:dyDescent="0.25">
      <c r="M615" s="37">
        <v>44476</v>
      </c>
      <c r="N615">
        <v>112261876000</v>
      </c>
    </row>
    <row r="616" spans="13:14" x14ac:dyDescent="0.25">
      <c r="M616" s="37">
        <v>44477</v>
      </c>
      <c r="N616">
        <v>112098978000</v>
      </c>
    </row>
    <row r="617" spans="13:14" x14ac:dyDescent="0.25">
      <c r="M617" s="37">
        <v>44484</v>
      </c>
      <c r="N617">
        <v>111789781000</v>
      </c>
    </row>
    <row r="618" spans="13:14" x14ac:dyDescent="0.25">
      <c r="M618" s="37">
        <v>44488</v>
      </c>
      <c r="N618">
        <v>110416371000</v>
      </c>
    </row>
    <row r="619" spans="13:14" x14ac:dyDescent="0.25">
      <c r="M619" s="37">
        <v>44489</v>
      </c>
      <c r="N619">
        <v>109372059000</v>
      </c>
    </row>
    <row r="620" spans="13:14" x14ac:dyDescent="0.25">
      <c r="M620" s="37">
        <v>44490</v>
      </c>
      <c r="N620">
        <v>108923719000</v>
      </c>
    </row>
    <row r="621" spans="13:14" x14ac:dyDescent="0.25">
      <c r="M621" s="37">
        <v>44491</v>
      </c>
      <c r="N621">
        <v>107658286000</v>
      </c>
    </row>
    <row r="622" spans="13:14" x14ac:dyDescent="0.25">
      <c r="M622" s="37">
        <v>44495</v>
      </c>
      <c r="N622">
        <v>106400140000</v>
      </c>
    </row>
    <row r="623" spans="13:14" x14ac:dyDescent="0.25">
      <c r="M623" s="37">
        <v>44496</v>
      </c>
      <c r="N623">
        <v>105860497000</v>
      </c>
    </row>
    <row r="624" spans="13:14" x14ac:dyDescent="0.25">
      <c r="M624" s="37">
        <v>44497</v>
      </c>
      <c r="N624">
        <v>106715876000</v>
      </c>
    </row>
    <row r="625" spans="13:14" x14ac:dyDescent="0.25">
      <c r="M625" s="37">
        <v>44498</v>
      </c>
      <c r="N625">
        <v>104361514000</v>
      </c>
    </row>
    <row r="626" spans="13:14" x14ac:dyDescent="0.25">
      <c r="M626" s="37">
        <v>44504</v>
      </c>
      <c r="N626">
        <v>110932075000</v>
      </c>
    </row>
    <row r="627" spans="13:14" x14ac:dyDescent="0.25">
      <c r="M627" s="37">
        <v>44505</v>
      </c>
      <c r="N627">
        <v>109742174000</v>
      </c>
    </row>
    <row r="628" spans="13:14" x14ac:dyDescent="0.25">
      <c r="M628" s="37">
        <v>44509</v>
      </c>
      <c r="N628">
        <v>109573471000</v>
      </c>
    </row>
    <row r="629" spans="13:14" x14ac:dyDescent="0.25">
      <c r="M629" s="37">
        <v>44510</v>
      </c>
      <c r="N629">
        <v>110378824000</v>
      </c>
    </row>
    <row r="630" spans="13:14" x14ac:dyDescent="0.25">
      <c r="M630" s="37">
        <v>44511</v>
      </c>
      <c r="N630">
        <v>110247040000</v>
      </c>
    </row>
    <row r="631" spans="13:14" x14ac:dyDescent="0.25">
      <c r="M631" s="37">
        <v>44512</v>
      </c>
      <c r="N631">
        <v>110616834000</v>
      </c>
    </row>
    <row r="632" spans="13:14" x14ac:dyDescent="0.25">
      <c r="M632" s="37">
        <v>44517</v>
      </c>
      <c r="N632">
        <v>107864396000</v>
      </c>
    </row>
    <row r="633" spans="13:14" x14ac:dyDescent="0.25">
      <c r="M633" s="37">
        <v>44518</v>
      </c>
      <c r="N633">
        <v>107895330000</v>
      </c>
    </row>
    <row r="634" spans="13:14" x14ac:dyDescent="0.25">
      <c r="M634" s="37">
        <v>44519</v>
      </c>
      <c r="N634">
        <v>107909421000</v>
      </c>
    </row>
    <row r="635" spans="13:14" x14ac:dyDescent="0.25">
      <c r="M635" s="37">
        <v>44523</v>
      </c>
      <c r="N635">
        <v>107883600000</v>
      </c>
    </row>
    <row r="636" spans="13:14" x14ac:dyDescent="0.25">
      <c r="M636" s="37">
        <v>44524</v>
      </c>
      <c r="N636">
        <v>108043299000</v>
      </c>
    </row>
    <row r="637" spans="13:14" x14ac:dyDescent="0.25">
      <c r="M637" s="37">
        <v>44529</v>
      </c>
      <c r="N637">
        <v>108369005000</v>
      </c>
    </row>
    <row r="638" spans="13:14" x14ac:dyDescent="0.25">
      <c r="M638" s="37">
        <v>44530</v>
      </c>
      <c r="N638">
        <v>108877753000</v>
      </c>
    </row>
    <row r="639" spans="13:14" x14ac:dyDescent="0.25">
      <c r="M639" s="37">
        <v>44531</v>
      </c>
      <c r="N639">
        <v>109619407000</v>
      </c>
    </row>
    <row r="640" spans="13:14" x14ac:dyDescent="0.25">
      <c r="M640" s="37">
        <v>44532</v>
      </c>
      <c r="N640">
        <v>108957307000</v>
      </c>
    </row>
    <row r="641" spans="13:14" x14ac:dyDescent="0.25">
      <c r="M641" s="37">
        <v>44533</v>
      </c>
      <c r="N641">
        <v>109676133000</v>
      </c>
    </row>
    <row r="642" spans="13:14" x14ac:dyDescent="0.25">
      <c r="M642" s="37">
        <v>44537</v>
      </c>
      <c r="N642">
        <v>111088132000</v>
      </c>
    </row>
    <row r="643" spans="13:14" x14ac:dyDescent="0.25">
      <c r="M643" s="37">
        <v>44538</v>
      </c>
      <c r="N643">
        <v>111723899000</v>
      </c>
    </row>
    <row r="644" spans="13:14" x14ac:dyDescent="0.25">
      <c r="M644" s="37">
        <v>44539</v>
      </c>
      <c r="N644">
        <v>112518513000</v>
      </c>
    </row>
    <row r="645" spans="13:14" x14ac:dyDescent="0.25">
      <c r="M645" s="37">
        <v>44540</v>
      </c>
      <c r="N645">
        <v>112962281000</v>
      </c>
    </row>
    <row r="646" spans="13:14" x14ac:dyDescent="0.25">
      <c r="M646" s="37">
        <v>44544</v>
      </c>
      <c r="N646">
        <v>113410155000</v>
      </c>
    </row>
    <row r="647" spans="13:14" x14ac:dyDescent="0.25">
      <c r="M647" s="37">
        <v>44545</v>
      </c>
      <c r="N647">
        <v>112998653000</v>
      </c>
    </row>
    <row r="648" spans="13:14" x14ac:dyDescent="0.25">
      <c r="M648" s="37">
        <v>44547</v>
      </c>
      <c r="N648">
        <v>112065848000</v>
      </c>
    </row>
    <row r="649" spans="13:14" x14ac:dyDescent="0.25">
      <c r="M649" s="37">
        <v>44551</v>
      </c>
      <c r="N649">
        <v>111542860000</v>
      </c>
    </row>
    <row r="650" spans="13:14" x14ac:dyDescent="0.25">
      <c r="M650" s="37">
        <v>44552</v>
      </c>
      <c r="N650">
        <v>111715274000</v>
      </c>
    </row>
    <row r="651" spans="13:14" x14ac:dyDescent="0.25">
      <c r="M651" s="37">
        <v>44553</v>
      </c>
      <c r="N651">
        <v>111639092000</v>
      </c>
    </row>
    <row r="652" spans="13:14" x14ac:dyDescent="0.25">
      <c r="M652" s="37">
        <v>44557</v>
      </c>
      <c r="N652">
        <v>111153140000</v>
      </c>
    </row>
    <row r="653" spans="13:14" x14ac:dyDescent="0.25">
      <c r="M653" s="37">
        <v>44558</v>
      </c>
      <c r="N653">
        <v>110876519000</v>
      </c>
    </row>
    <row r="654" spans="13:14" x14ac:dyDescent="0.25">
      <c r="M654" s="37">
        <v>44559</v>
      </c>
      <c r="N654">
        <v>110826266000</v>
      </c>
    </row>
    <row r="655" spans="13:14" x14ac:dyDescent="0.25">
      <c r="M655" s="37">
        <v>44560</v>
      </c>
      <c r="N655">
        <v>109704939000</v>
      </c>
    </row>
    <row r="656" spans="13:14" x14ac:dyDescent="0.25">
      <c r="M656" s="37">
        <v>44565</v>
      </c>
      <c r="N656">
        <v>110056558000</v>
      </c>
    </row>
    <row r="657" spans="13:14" x14ac:dyDescent="0.25">
      <c r="M657" s="37">
        <v>44566</v>
      </c>
      <c r="N657">
        <v>109556147000</v>
      </c>
    </row>
    <row r="658" spans="13:14" x14ac:dyDescent="0.25">
      <c r="M658" s="37">
        <v>44567</v>
      </c>
      <c r="N658">
        <v>108550676000</v>
      </c>
    </row>
    <row r="659" spans="13:14" x14ac:dyDescent="0.25">
      <c r="M659" s="37">
        <v>44568</v>
      </c>
      <c r="N659">
        <v>107745028000</v>
      </c>
    </row>
    <row r="660" spans="13:14" x14ac:dyDescent="0.25">
      <c r="M660" s="37">
        <v>44572</v>
      </c>
      <c r="N660">
        <v>106183503000</v>
      </c>
    </row>
    <row r="661" spans="13:14" x14ac:dyDescent="0.25">
      <c r="M661" s="37">
        <v>44573</v>
      </c>
      <c r="N661">
        <v>105450152000</v>
      </c>
    </row>
    <row r="662" spans="13:14" x14ac:dyDescent="0.25">
      <c r="M662" s="37">
        <v>44574</v>
      </c>
      <c r="N662">
        <v>106431092000</v>
      </c>
    </row>
    <row r="663" spans="13:14" x14ac:dyDescent="0.25">
      <c r="M663" s="37">
        <v>44575</v>
      </c>
      <c r="N663">
        <v>106644853000</v>
      </c>
    </row>
    <row r="664" spans="13:14" x14ac:dyDescent="0.25">
      <c r="M664" s="37">
        <v>44579</v>
      </c>
      <c r="N664">
        <v>105913381000</v>
      </c>
    </row>
    <row r="665" spans="13:14" x14ac:dyDescent="0.25">
      <c r="M665" s="37">
        <v>44580</v>
      </c>
      <c r="N665">
        <v>105909295000</v>
      </c>
    </row>
    <row r="666" spans="13:14" x14ac:dyDescent="0.25">
      <c r="M666" s="37">
        <v>44581</v>
      </c>
      <c r="N666">
        <v>106992973000</v>
      </c>
    </row>
    <row r="667" spans="13:14" x14ac:dyDescent="0.25">
      <c r="M667" s="37">
        <v>44582</v>
      </c>
      <c r="N667">
        <v>107736096000</v>
      </c>
    </row>
    <row r="668" spans="13:14" x14ac:dyDescent="0.25">
      <c r="M668" s="37">
        <v>44587</v>
      </c>
      <c r="N668">
        <v>107589526000</v>
      </c>
    </row>
    <row r="669" spans="13:14" x14ac:dyDescent="0.25">
      <c r="M669" s="37">
        <v>44588</v>
      </c>
      <c r="N669">
        <v>107261807000</v>
      </c>
    </row>
    <row r="670" spans="13:14" x14ac:dyDescent="0.25">
      <c r="M670" s="37">
        <v>44589</v>
      </c>
      <c r="N670">
        <v>107212243000</v>
      </c>
    </row>
    <row r="671" spans="13:14" x14ac:dyDescent="0.25">
      <c r="M671" s="37">
        <v>44593</v>
      </c>
      <c r="N671">
        <v>107969680000</v>
      </c>
    </row>
    <row r="672" spans="13:14" x14ac:dyDescent="0.25">
      <c r="M672" s="37">
        <v>44594</v>
      </c>
      <c r="N672">
        <v>108566592000</v>
      </c>
    </row>
    <row r="673" spans="13:14" x14ac:dyDescent="0.25">
      <c r="M673" s="37">
        <v>44595</v>
      </c>
      <c r="N673">
        <v>109659242000</v>
      </c>
    </row>
    <row r="674" spans="13:14" x14ac:dyDescent="0.25">
      <c r="M674" s="37">
        <v>44596</v>
      </c>
      <c r="N674">
        <v>109850861000</v>
      </c>
    </row>
    <row r="675" spans="13:14" x14ac:dyDescent="0.25">
      <c r="M675" s="37">
        <v>44600</v>
      </c>
      <c r="N675">
        <v>109514478000</v>
      </c>
    </row>
    <row r="676" spans="13:14" x14ac:dyDescent="0.25">
      <c r="M676" s="37">
        <v>44601</v>
      </c>
      <c r="N676">
        <v>108630612000</v>
      </c>
    </row>
    <row r="677" spans="13:14" x14ac:dyDescent="0.25">
      <c r="M677" s="37">
        <v>44602</v>
      </c>
      <c r="N677">
        <v>108201316000</v>
      </c>
    </row>
    <row r="678" spans="13:14" x14ac:dyDescent="0.25">
      <c r="M678" s="37">
        <v>44603</v>
      </c>
      <c r="N678">
        <v>107802675000</v>
      </c>
    </row>
    <row r="679" spans="13:14" x14ac:dyDescent="0.25">
      <c r="M679" s="37">
        <v>44607</v>
      </c>
      <c r="N679">
        <v>107897065000</v>
      </c>
    </row>
    <row r="680" spans="13:14" x14ac:dyDescent="0.25">
      <c r="M680" s="37">
        <v>44608</v>
      </c>
      <c r="N680">
        <v>108137964000</v>
      </c>
    </row>
    <row r="681" spans="13:14" x14ac:dyDescent="0.25">
      <c r="M681" s="37">
        <v>44609</v>
      </c>
      <c r="N681">
        <v>108393256000</v>
      </c>
    </row>
    <row r="682" spans="13:14" x14ac:dyDescent="0.25">
      <c r="M682" s="37">
        <v>44610</v>
      </c>
      <c r="N682">
        <v>107789150000</v>
      </c>
    </row>
    <row r="683" spans="13:14" x14ac:dyDescent="0.25">
      <c r="M683" s="37">
        <v>44614</v>
      </c>
      <c r="N683">
        <v>107711514000</v>
      </c>
    </row>
    <row r="684" spans="13:14" x14ac:dyDescent="0.25">
      <c r="M684" s="37">
        <v>44615</v>
      </c>
      <c r="N684">
        <v>107320241000</v>
      </c>
    </row>
    <row r="685" spans="13:14" x14ac:dyDescent="0.25">
      <c r="M685" s="37">
        <v>44616</v>
      </c>
      <c r="N685">
        <v>107753173000</v>
      </c>
    </row>
    <row r="686" spans="13:14" x14ac:dyDescent="0.25">
      <c r="M686" s="37">
        <v>44617</v>
      </c>
      <c r="N686">
        <v>107642834000</v>
      </c>
    </row>
    <row r="687" spans="13:14" x14ac:dyDescent="0.25">
      <c r="M687" s="37">
        <v>44623</v>
      </c>
      <c r="N687">
        <v>107714961000</v>
      </c>
    </row>
    <row r="688" spans="13:14" x14ac:dyDescent="0.25">
      <c r="M688" s="37">
        <v>44630</v>
      </c>
      <c r="N688">
        <v>106272820000</v>
      </c>
    </row>
    <row r="689" spans="13:14" x14ac:dyDescent="0.25">
      <c r="M689" s="37">
        <v>44635</v>
      </c>
      <c r="N689">
        <v>105522001000</v>
      </c>
    </row>
    <row r="690" spans="13:14" x14ac:dyDescent="0.25">
      <c r="M690" s="37">
        <v>44637</v>
      </c>
      <c r="N690">
        <v>105754556000</v>
      </c>
    </row>
    <row r="691" spans="13:14" x14ac:dyDescent="0.25">
      <c r="M691" s="37">
        <v>44638</v>
      </c>
      <c r="N691">
        <v>106410625000</v>
      </c>
    </row>
    <row r="692" spans="13:14" x14ac:dyDescent="0.25">
      <c r="M692" s="37">
        <v>44642</v>
      </c>
      <c r="N692">
        <v>107407233000</v>
      </c>
    </row>
    <row r="693" spans="13:14" x14ac:dyDescent="0.25">
      <c r="M693" s="37">
        <v>44644</v>
      </c>
      <c r="N693">
        <v>108735963000</v>
      </c>
    </row>
    <row r="694" spans="13:14" x14ac:dyDescent="0.25">
      <c r="M694" s="37">
        <v>44645</v>
      </c>
      <c r="N694">
        <v>111208616000</v>
      </c>
    </row>
    <row r="695" spans="13:14" x14ac:dyDescent="0.25">
      <c r="M695" s="37">
        <v>44649</v>
      </c>
      <c r="N695">
        <v>111987168000</v>
      </c>
    </row>
    <row r="696" spans="13:14" x14ac:dyDescent="0.25">
      <c r="M696" s="37">
        <v>44650</v>
      </c>
      <c r="N696">
        <v>111855937000</v>
      </c>
    </row>
    <row r="697" spans="13:14" x14ac:dyDescent="0.25">
      <c r="M697" s="37">
        <v>44651</v>
      </c>
      <c r="N697">
        <v>111324148000</v>
      </c>
    </row>
    <row r="698" spans="13:14" x14ac:dyDescent="0.25">
      <c r="M698" s="37">
        <v>44652</v>
      </c>
      <c r="N698">
        <v>111478855000</v>
      </c>
    </row>
    <row r="699" spans="13:14" x14ac:dyDescent="0.25">
      <c r="M699" s="37">
        <v>44656</v>
      </c>
      <c r="N699">
        <v>113386770000</v>
      </c>
    </row>
    <row r="700" spans="13:14" x14ac:dyDescent="0.25">
      <c r="M700" s="37">
        <v>44658</v>
      </c>
      <c r="N700">
        <v>112565607000</v>
      </c>
    </row>
    <row r="701" spans="13:14" x14ac:dyDescent="0.25">
      <c r="M701" s="37">
        <v>44663</v>
      </c>
      <c r="N701">
        <v>110460632000</v>
      </c>
    </row>
    <row r="702" spans="13:14" x14ac:dyDescent="0.25">
      <c r="M702" s="37">
        <v>44665</v>
      </c>
      <c r="N702">
        <v>111239597000</v>
      </c>
    </row>
    <row r="703" spans="13:14" x14ac:dyDescent="0.25">
      <c r="M703" s="37">
        <v>44670</v>
      </c>
      <c r="N703">
        <v>111176629000</v>
      </c>
    </row>
    <row r="704" spans="13:14" x14ac:dyDescent="0.25">
      <c r="M704" s="37">
        <v>44671</v>
      </c>
      <c r="N704">
        <v>110993749000</v>
      </c>
    </row>
    <row r="705" spans="13:14" x14ac:dyDescent="0.25">
      <c r="M705" s="37">
        <v>44677</v>
      </c>
      <c r="N705">
        <v>110743948000</v>
      </c>
    </row>
    <row r="706" spans="13:14" x14ac:dyDescent="0.25">
      <c r="M706" s="37">
        <v>44678</v>
      </c>
      <c r="N706">
        <v>110119990000</v>
      </c>
    </row>
    <row r="707" spans="13:14" x14ac:dyDescent="0.25">
      <c r="M707" s="37">
        <v>44680</v>
      </c>
      <c r="N707">
        <v>110819238000</v>
      </c>
    </row>
    <row r="708" spans="13:14" x14ac:dyDescent="0.25">
      <c r="M708" s="37">
        <v>44684</v>
      </c>
      <c r="N708">
        <v>110624701000</v>
      </c>
    </row>
    <row r="709" spans="13:14" x14ac:dyDescent="0.25">
      <c r="M709" s="37">
        <v>44685</v>
      </c>
      <c r="N709">
        <v>110526962000</v>
      </c>
    </row>
    <row r="710" spans="13:14" x14ac:dyDescent="0.25">
      <c r="M710" s="37">
        <v>44686</v>
      </c>
      <c r="N710">
        <v>111774451000</v>
      </c>
    </row>
    <row r="711" spans="13:14" x14ac:dyDescent="0.25">
      <c r="M711" s="37">
        <v>44687</v>
      </c>
      <c r="N711">
        <v>111045437000</v>
      </c>
    </row>
    <row r="712" spans="13:14" x14ac:dyDescent="0.25">
      <c r="M712" s="37">
        <v>44691</v>
      </c>
      <c r="N712">
        <v>110590781000</v>
      </c>
    </row>
    <row r="713" spans="13:14" x14ac:dyDescent="0.25">
      <c r="M713" s="37">
        <v>44692</v>
      </c>
      <c r="N713">
        <v>109928334000</v>
      </c>
    </row>
    <row r="714" spans="13:14" x14ac:dyDescent="0.25">
      <c r="M714" s="37">
        <v>44693</v>
      </c>
      <c r="N714">
        <v>109874286000</v>
      </c>
    </row>
    <row r="715" spans="13:14" x14ac:dyDescent="0.25">
      <c r="M715" s="37">
        <v>44694</v>
      </c>
      <c r="N715">
        <v>110816474000</v>
      </c>
    </row>
    <row r="716" spans="13:14" x14ac:dyDescent="0.25">
      <c r="M716" s="37">
        <v>44698</v>
      </c>
      <c r="N716">
        <v>109345383000</v>
      </c>
    </row>
    <row r="717" spans="13:14" x14ac:dyDescent="0.25">
      <c r="M717" s="37">
        <v>44699</v>
      </c>
      <c r="N717">
        <v>109054662000</v>
      </c>
    </row>
    <row r="718" spans="13:14" x14ac:dyDescent="0.25">
      <c r="M718" s="37">
        <v>44700</v>
      </c>
      <c r="N718">
        <v>109109506000</v>
      </c>
    </row>
    <row r="719" spans="13:14" x14ac:dyDescent="0.25">
      <c r="M719" s="37">
        <v>44704</v>
      </c>
      <c r="N719">
        <v>109327713000</v>
      </c>
    </row>
    <row r="720" spans="13:14" x14ac:dyDescent="0.25">
      <c r="M720" s="37">
        <v>44705</v>
      </c>
      <c r="N720">
        <v>109468162000</v>
      </c>
    </row>
    <row r="721" spans="13:14" x14ac:dyDescent="0.25">
      <c r="M721" s="37">
        <v>44706</v>
      </c>
      <c r="N721">
        <v>108295884000</v>
      </c>
    </row>
    <row r="722" spans="13:14" x14ac:dyDescent="0.25">
      <c r="M722" s="37">
        <v>44707</v>
      </c>
      <c r="N722">
        <v>108699350000</v>
      </c>
    </row>
    <row r="723" spans="13:14" x14ac:dyDescent="0.25">
      <c r="M723" s="37">
        <v>44708</v>
      </c>
      <c r="N723">
        <v>109210252000</v>
      </c>
    </row>
    <row r="724" spans="13:14" x14ac:dyDescent="0.25">
      <c r="M724" s="37">
        <v>44712</v>
      </c>
      <c r="N724">
        <v>108273329000</v>
      </c>
    </row>
    <row r="725" spans="13:14" x14ac:dyDescent="0.25">
      <c r="M725" s="37">
        <v>44714</v>
      </c>
      <c r="N725">
        <v>108425623000</v>
      </c>
    </row>
    <row r="726" spans="13:14" x14ac:dyDescent="0.25">
      <c r="M726" s="37">
        <v>44715</v>
      </c>
      <c r="N726">
        <v>108428943000</v>
      </c>
    </row>
    <row r="727" spans="13:14" x14ac:dyDescent="0.25">
      <c r="M727" s="37">
        <v>44719</v>
      </c>
      <c r="N727">
        <v>108702584000</v>
      </c>
    </row>
    <row r="728" spans="13:14" x14ac:dyDescent="0.25">
      <c r="M728" s="37">
        <v>44721</v>
      </c>
      <c r="N728">
        <v>108454580000</v>
      </c>
    </row>
    <row r="729" spans="13:14" x14ac:dyDescent="0.25">
      <c r="M729" s="37">
        <v>44722</v>
      </c>
      <c r="N729">
        <v>108881619000</v>
      </c>
    </row>
    <row r="730" spans="13:14" x14ac:dyDescent="0.25">
      <c r="M730" s="37">
        <v>44726</v>
      </c>
      <c r="N730">
        <v>108168334000</v>
      </c>
    </row>
    <row r="731" spans="13:14" x14ac:dyDescent="0.25">
      <c r="M731" s="37">
        <v>44727</v>
      </c>
      <c r="N731">
        <v>107814210000</v>
      </c>
    </row>
    <row r="732" spans="13:14" x14ac:dyDescent="0.25">
      <c r="M732" s="37">
        <v>44733</v>
      </c>
      <c r="N732">
        <v>108676546000</v>
      </c>
    </row>
    <row r="733" spans="13:14" x14ac:dyDescent="0.25">
      <c r="M733" s="37">
        <v>44734</v>
      </c>
      <c r="N733">
        <v>108122325000</v>
      </c>
    </row>
    <row r="734" spans="13:14" x14ac:dyDescent="0.25">
      <c r="M734" s="37">
        <v>44735</v>
      </c>
      <c r="N734">
        <v>108107320000</v>
      </c>
    </row>
    <row r="735" spans="13:14" x14ac:dyDescent="0.25">
      <c r="M735" s="37">
        <v>44736</v>
      </c>
      <c r="N735">
        <v>108132140000</v>
      </c>
    </row>
    <row r="736" spans="13:14" x14ac:dyDescent="0.25">
      <c r="M736" s="37">
        <v>44740</v>
      </c>
      <c r="N736">
        <v>107688234000</v>
      </c>
    </row>
    <row r="737" spans="13:14" x14ac:dyDescent="0.25">
      <c r="M737" s="37">
        <v>44741</v>
      </c>
      <c r="N737">
        <v>106732621000</v>
      </c>
    </row>
    <row r="738" spans="13:14" x14ac:dyDescent="0.25">
      <c r="M738" s="37">
        <v>44742</v>
      </c>
      <c r="N738">
        <v>106686015000</v>
      </c>
    </row>
    <row r="739" spans="13:14" x14ac:dyDescent="0.25">
      <c r="M739" s="37">
        <v>44743</v>
      </c>
      <c r="N739">
        <v>107089396000</v>
      </c>
    </row>
    <row r="740" spans="13:14" x14ac:dyDescent="0.25">
      <c r="M740" s="37">
        <v>44747</v>
      </c>
      <c r="N740">
        <v>106351990000</v>
      </c>
    </row>
    <row r="741" spans="13:14" x14ac:dyDescent="0.25">
      <c r="M741" s="37">
        <v>44748</v>
      </c>
      <c r="N741">
        <v>105934073000</v>
      </c>
    </row>
    <row r="742" spans="13:14" x14ac:dyDescent="0.25">
      <c r="M742" s="37">
        <v>44749</v>
      </c>
      <c r="N742">
        <v>105303124000</v>
      </c>
    </row>
    <row r="743" spans="13:14" x14ac:dyDescent="0.25">
      <c r="M743" s="37">
        <v>44750</v>
      </c>
      <c r="N743">
        <v>104947926000</v>
      </c>
    </row>
    <row r="744" spans="13:14" x14ac:dyDescent="0.25">
      <c r="M744" s="37">
        <v>44754</v>
      </c>
      <c r="N744">
        <v>102793906000</v>
      </c>
    </row>
    <row r="745" spans="13:14" x14ac:dyDescent="0.25">
      <c r="M745" s="37">
        <v>44755</v>
      </c>
      <c r="N745">
        <v>103115787000</v>
      </c>
    </row>
    <row r="746" spans="13:14" x14ac:dyDescent="0.25">
      <c r="M746" s="37">
        <v>44756</v>
      </c>
      <c r="N746">
        <v>103749668000</v>
      </c>
    </row>
    <row r="747" spans="13:14" x14ac:dyDescent="0.25">
      <c r="M747" s="37">
        <v>44757</v>
      </c>
      <c r="N747">
        <v>104608659000</v>
      </c>
    </row>
    <row r="748" spans="13:14" x14ac:dyDescent="0.25">
      <c r="M748" s="37">
        <v>44761</v>
      </c>
      <c r="N748">
        <v>103888140000</v>
      </c>
    </row>
    <row r="749" spans="13:14" x14ac:dyDescent="0.25">
      <c r="M749" s="37">
        <v>44762</v>
      </c>
      <c r="N749">
        <v>103477616000</v>
      </c>
    </row>
    <row r="750" spans="13:14" x14ac:dyDescent="0.25">
      <c r="M750" s="37">
        <v>44763</v>
      </c>
      <c r="N750">
        <v>104123799000</v>
      </c>
    </row>
    <row r="751" spans="13:14" x14ac:dyDescent="0.25">
      <c r="M751" s="37">
        <v>44764</v>
      </c>
      <c r="N751">
        <v>104186698000</v>
      </c>
    </row>
    <row r="752" spans="13:14" x14ac:dyDescent="0.25">
      <c r="M752" s="37">
        <v>44768</v>
      </c>
      <c r="N752">
        <v>104414977000</v>
      </c>
    </row>
    <row r="753" spans="13:14" x14ac:dyDescent="0.25">
      <c r="M753" s="37">
        <v>44769</v>
      </c>
      <c r="N753">
        <v>103749516000</v>
      </c>
    </row>
    <row r="754" spans="13:14" x14ac:dyDescent="0.25">
      <c r="M754" s="37">
        <v>44770</v>
      </c>
      <c r="N754">
        <v>104093017000</v>
      </c>
    </row>
    <row r="755" spans="13:14" x14ac:dyDescent="0.25">
      <c r="M755" s="37">
        <v>44771</v>
      </c>
      <c r="N755">
        <v>104233268000</v>
      </c>
    </row>
    <row r="756" spans="13:14" x14ac:dyDescent="0.25">
      <c r="M756" s="37">
        <v>44775</v>
      </c>
      <c r="N756">
        <v>104701876000</v>
      </c>
    </row>
    <row r="757" spans="13:14" x14ac:dyDescent="0.25">
      <c r="M757" s="37">
        <v>44776</v>
      </c>
      <c r="N757">
        <v>104230289000</v>
      </c>
    </row>
    <row r="758" spans="13:14" x14ac:dyDescent="0.25">
      <c r="M758" s="37">
        <v>44777</v>
      </c>
      <c r="N758">
        <v>104580576000</v>
      </c>
    </row>
    <row r="759" spans="13:14" x14ac:dyDescent="0.25">
      <c r="M759" s="37">
        <v>44778</v>
      </c>
      <c r="N759">
        <v>107262034000</v>
      </c>
    </row>
    <row r="760" spans="13:14" x14ac:dyDescent="0.25">
      <c r="M760" s="37">
        <v>44782</v>
      </c>
      <c r="N760">
        <v>109319414000</v>
      </c>
    </row>
    <row r="761" spans="13:14" x14ac:dyDescent="0.25">
      <c r="M761" s="37">
        <v>44783</v>
      </c>
      <c r="N761">
        <v>108493038000</v>
      </c>
    </row>
    <row r="762" spans="13:14" x14ac:dyDescent="0.25">
      <c r="M762" s="37">
        <v>44784</v>
      </c>
      <c r="N762">
        <v>108646263000</v>
      </c>
    </row>
    <row r="763" spans="13:14" x14ac:dyDescent="0.25">
      <c r="M763" s="37">
        <v>44788</v>
      </c>
      <c r="N763">
        <v>108273238000</v>
      </c>
    </row>
    <row r="764" spans="13:14" x14ac:dyDescent="0.25">
      <c r="M764" s="37">
        <v>44789</v>
      </c>
      <c r="N764">
        <v>111467534000</v>
      </c>
    </row>
    <row r="765" spans="13:14" x14ac:dyDescent="0.25">
      <c r="M765" s="37">
        <v>44790</v>
      </c>
      <c r="N765">
        <v>110291439000</v>
      </c>
    </row>
    <row r="766" spans="13:14" x14ac:dyDescent="0.25">
      <c r="M766" s="37">
        <v>44792</v>
      </c>
      <c r="N766">
        <v>110079934000</v>
      </c>
    </row>
    <row r="767" spans="13:14" x14ac:dyDescent="0.25">
      <c r="M767" s="37">
        <v>44796</v>
      </c>
      <c r="N767">
        <v>109191167000</v>
      </c>
    </row>
    <row r="768" spans="13:14" x14ac:dyDescent="0.25">
      <c r="M768" s="37">
        <v>44797</v>
      </c>
      <c r="N768">
        <v>110032261000</v>
      </c>
    </row>
    <row r="769" spans="13:14" x14ac:dyDescent="0.25">
      <c r="M769" s="37">
        <v>44798</v>
      </c>
      <c r="N769">
        <v>109836960000</v>
      </c>
    </row>
    <row r="770" spans="13:14" x14ac:dyDescent="0.25">
      <c r="M770" s="37">
        <v>44799</v>
      </c>
      <c r="N770">
        <v>108859145000</v>
      </c>
    </row>
    <row r="771" spans="13:14" x14ac:dyDescent="0.25">
      <c r="M771" s="37">
        <v>44803</v>
      </c>
      <c r="N771">
        <v>108151114000</v>
      </c>
    </row>
    <row r="772" spans="13:14" x14ac:dyDescent="0.25">
      <c r="M772" s="37">
        <v>44804</v>
      </c>
      <c r="N772">
        <v>108586673000</v>
      </c>
    </row>
    <row r="773" spans="13:14" x14ac:dyDescent="0.25">
      <c r="M773" s="37">
        <v>44805</v>
      </c>
      <c r="N773">
        <v>108659171000</v>
      </c>
    </row>
    <row r="774" spans="13:14" x14ac:dyDescent="0.25">
      <c r="M774" s="37">
        <v>44806</v>
      </c>
      <c r="N774">
        <v>110202291000</v>
      </c>
    </row>
    <row r="775" spans="13:14" x14ac:dyDescent="0.25">
      <c r="M775" s="37">
        <v>44810</v>
      </c>
      <c r="N775">
        <v>110431006000</v>
      </c>
    </row>
    <row r="776" spans="13:14" x14ac:dyDescent="0.25">
      <c r="M776" s="37">
        <v>44813</v>
      </c>
      <c r="N776">
        <v>110488414000</v>
      </c>
    </row>
    <row r="777" spans="13:14" x14ac:dyDescent="0.25">
      <c r="M777" s="37">
        <v>44817</v>
      </c>
      <c r="N777">
        <v>109933767000</v>
      </c>
    </row>
    <row r="778" spans="13:14" x14ac:dyDescent="0.25">
      <c r="M778" s="37">
        <v>44818</v>
      </c>
      <c r="N778">
        <v>109400252000</v>
      </c>
    </row>
    <row r="779" spans="13:14" x14ac:dyDescent="0.25">
      <c r="M779" s="37">
        <v>44819</v>
      </c>
      <c r="N779">
        <v>109214663000</v>
      </c>
    </row>
    <row r="780" spans="13:14" x14ac:dyDescent="0.25">
      <c r="M780" s="37">
        <v>44820</v>
      </c>
      <c r="N780">
        <v>108757629000</v>
      </c>
    </row>
    <row r="781" spans="13:14" x14ac:dyDescent="0.25">
      <c r="M781" s="37">
        <v>44824</v>
      </c>
      <c r="N781">
        <v>110134235000</v>
      </c>
    </row>
    <row r="782" spans="13:14" x14ac:dyDescent="0.25">
      <c r="M782" s="37">
        <v>44825</v>
      </c>
      <c r="N782">
        <v>110447064000</v>
      </c>
    </row>
    <row r="783" spans="13:14" x14ac:dyDescent="0.25">
      <c r="M783" s="37">
        <v>44826</v>
      </c>
      <c r="N783">
        <v>110932122000</v>
      </c>
    </row>
    <row r="784" spans="13:14" x14ac:dyDescent="0.25">
      <c r="M784" s="37">
        <v>44827</v>
      </c>
      <c r="N784">
        <v>111788276000</v>
      </c>
    </row>
    <row r="785" spans="13:14" x14ac:dyDescent="0.25">
      <c r="M785" s="37">
        <v>44831</v>
      </c>
      <c r="N785">
        <v>110635116000</v>
      </c>
    </row>
    <row r="786" spans="13:14" x14ac:dyDescent="0.25">
      <c r="M786" s="37">
        <v>44832</v>
      </c>
      <c r="N786">
        <v>110955852000</v>
      </c>
    </row>
    <row r="787" spans="13:14" x14ac:dyDescent="0.25">
      <c r="M787" s="37">
        <v>44833</v>
      </c>
      <c r="N787">
        <v>110521598000</v>
      </c>
    </row>
    <row r="788" spans="13:14" x14ac:dyDescent="0.25">
      <c r="M788" s="37">
        <v>44834</v>
      </c>
      <c r="N788">
        <v>110949472000</v>
      </c>
    </row>
    <row r="789" spans="13:14" x14ac:dyDescent="0.25">
      <c r="M789" s="37">
        <v>44838</v>
      </c>
      <c r="N789">
        <v>112811779000</v>
      </c>
    </row>
    <row r="790" spans="13:14" x14ac:dyDescent="0.25">
      <c r="M790" s="37">
        <v>44839</v>
      </c>
      <c r="N790">
        <v>112881871000</v>
      </c>
    </row>
    <row r="791" spans="13:14" x14ac:dyDescent="0.25">
      <c r="M791" s="37">
        <v>44840</v>
      </c>
      <c r="N791">
        <v>112906638000</v>
      </c>
    </row>
    <row r="792" spans="13:14" x14ac:dyDescent="0.25">
      <c r="M792" s="37">
        <v>44841</v>
      </c>
      <c r="N792">
        <v>112388460000</v>
      </c>
    </row>
    <row r="793" spans="13:14" x14ac:dyDescent="0.25">
      <c r="M793" s="37">
        <v>44845</v>
      </c>
      <c r="N793">
        <v>111597308000</v>
      </c>
    </row>
    <row r="794" spans="13:14" x14ac:dyDescent="0.25">
      <c r="M794" s="37">
        <v>44848</v>
      </c>
      <c r="N794">
        <v>111217755000</v>
      </c>
    </row>
    <row r="795" spans="13:14" x14ac:dyDescent="0.25">
      <c r="M795" s="37">
        <v>44852</v>
      </c>
      <c r="N795">
        <v>111430802000</v>
      </c>
    </row>
    <row r="796" spans="13:14" x14ac:dyDescent="0.25">
      <c r="M796" s="37">
        <v>44853</v>
      </c>
      <c r="N796">
        <v>111460935000</v>
      </c>
    </row>
    <row r="797" spans="13:14" x14ac:dyDescent="0.25">
      <c r="M797" s="37">
        <v>44854</v>
      </c>
      <c r="N797">
        <v>111416827000</v>
      </c>
    </row>
    <row r="798" spans="13:14" x14ac:dyDescent="0.25">
      <c r="M798" s="37">
        <v>44855</v>
      </c>
      <c r="N798">
        <v>111537823000</v>
      </c>
    </row>
    <row r="799" spans="13:14" x14ac:dyDescent="0.25">
      <c r="M799" s="37">
        <v>44859</v>
      </c>
      <c r="N799">
        <v>111436512000</v>
      </c>
    </row>
    <row r="800" spans="13:14" x14ac:dyDescent="0.25">
      <c r="M800" s="37">
        <v>44860</v>
      </c>
      <c r="N800">
        <v>111392589000</v>
      </c>
    </row>
    <row r="801" spans="13:14" x14ac:dyDescent="0.25">
      <c r="M801" s="37">
        <v>44861</v>
      </c>
      <c r="N801">
        <v>110934531000</v>
      </c>
    </row>
    <row r="802" spans="13:14" x14ac:dyDescent="0.25">
      <c r="M802" s="37">
        <v>44866</v>
      </c>
      <c r="N802">
        <v>112782779000</v>
      </c>
    </row>
    <row r="803" spans="13:14" x14ac:dyDescent="0.25">
      <c r="M803" s="37">
        <v>44869</v>
      </c>
      <c r="N803">
        <v>112352736000</v>
      </c>
    </row>
    <row r="804" spans="13:14" x14ac:dyDescent="0.25">
      <c r="M804" s="37">
        <v>44873</v>
      </c>
      <c r="N804">
        <v>110843040000</v>
      </c>
    </row>
    <row r="805" spans="13:14" x14ac:dyDescent="0.25">
      <c r="M805" s="37">
        <v>44874</v>
      </c>
      <c r="N805">
        <v>111085714000</v>
      </c>
    </row>
    <row r="806" spans="13:14" x14ac:dyDescent="0.25">
      <c r="M806" s="37">
        <v>44875</v>
      </c>
      <c r="N806">
        <v>111123670000</v>
      </c>
    </row>
    <row r="807" spans="13:14" x14ac:dyDescent="0.25">
      <c r="M807" s="37">
        <v>44876</v>
      </c>
      <c r="N807">
        <v>107875800000</v>
      </c>
    </row>
    <row r="808" spans="13:14" x14ac:dyDescent="0.25">
      <c r="M808" s="37">
        <v>44882</v>
      </c>
      <c r="N808">
        <v>105030550000</v>
      </c>
    </row>
    <row r="809" spans="13:14" x14ac:dyDescent="0.25">
      <c r="M809" s="37">
        <v>44883</v>
      </c>
      <c r="N809">
        <v>105181558000</v>
      </c>
    </row>
    <row r="810" spans="13:14" x14ac:dyDescent="0.25">
      <c r="M810" s="37">
        <v>44890</v>
      </c>
      <c r="N810">
        <v>104182749000</v>
      </c>
    </row>
    <row r="811" spans="13:14" x14ac:dyDescent="0.25">
      <c r="M811" s="37">
        <v>44894</v>
      </c>
      <c r="N811">
        <v>103969360000</v>
      </c>
    </row>
    <row r="812" spans="13:14" x14ac:dyDescent="0.25">
      <c r="M812" s="37">
        <v>44895</v>
      </c>
      <c r="N812">
        <v>106312631000</v>
      </c>
    </row>
    <row r="813" spans="13:14" x14ac:dyDescent="0.25">
      <c r="M813" s="37">
        <v>44896</v>
      </c>
      <c r="N813">
        <v>107858782000</v>
      </c>
    </row>
    <row r="814" spans="13:14" x14ac:dyDescent="0.25">
      <c r="M814" s="37">
        <v>44897</v>
      </c>
      <c r="N814">
        <v>107034265000</v>
      </c>
    </row>
    <row r="815" spans="13:14" x14ac:dyDescent="0.25">
      <c r="M815" s="37">
        <v>44901</v>
      </c>
      <c r="N815">
        <v>106070896000</v>
      </c>
    </row>
    <row r="816" spans="13:14" x14ac:dyDescent="0.25">
      <c r="M816" s="37">
        <v>44902</v>
      </c>
      <c r="N816">
        <v>104896205000</v>
      </c>
    </row>
    <row r="817" spans="13:14" x14ac:dyDescent="0.25">
      <c r="M817" s="37">
        <v>44903</v>
      </c>
      <c r="N817">
        <v>105091801000</v>
      </c>
    </row>
    <row r="818" spans="13:14" x14ac:dyDescent="0.25">
      <c r="M818" s="37">
        <v>44904</v>
      </c>
      <c r="N818">
        <v>104663574000</v>
      </c>
    </row>
    <row r="819" spans="13:14" x14ac:dyDescent="0.25">
      <c r="M819" s="37">
        <v>44908</v>
      </c>
      <c r="N819">
        <v>103243786000</v>
      </c>
    </row>
    <row r="820" spans="13:14" x14ac:dyDescent="0.25">
      <c r="M820" s="37">
        <v>44910</v>
      </c>
      <c r="N820">
        <v>102703565000</v>
      </c>
    </row>
    <row r="821" spans="13:14" x14ac:dyDescent="0.25">
      <c r="M821" s="37">
        <v>44911</v>
      </c>
      <c r="N821">
        <v>102772472000</v>
      </c>
    </row>
    <row r="822" spans="13:14" x14ac:dyDescent="0.25">
      <c r="M822" s="37">
        <v>44915</v>
      </c>
      <c r="N822">
        <v>101617725000</v>
      </c>
    </row>
    <row r="823" spans="13:14" x14ac:dyDescent="0.25">
      <c r="M823" s="37">
        <v>44916</v>
      </c>
      <c r="N823">
        <v>102253353000</v>
      </c>
    </row>
    <row r="824" spans="13:14" x14ac:dyDescent="0.25">
      <c r="M824" s="37">
        <v>44917</v>
      </c>
      <c r="N824">
        <v>102088211000</v>
      </c>
    </row>
    <row r="825" spans="13:14" x14ac:dyDescent="0.25">
      <c r="M825" s="37">
        <v>44918</v>
      </c>
      <c r="N825">
        <v>102788769000</v>
      </c>
    </row>
    <row r="826" spans="13:14" x14ac:dyDescent="0.25">
      <c r="M826" s="37">
        <v>44922</v>
      </c>
      <c r="N826">
        <v>103989491000</v>
      </c>
    </row>
    <row r="827" spans="13:14" x14ac:dyDescent="0.25">
      <c r="M827" s="37">
        <v>44923</v>
      </c>
      <c r="N827">
        <v>104329164000</v>
      </c>
    </row>
    <row r="828" spans="13:14" x14ac:dyDescent="0.25">
      <c r="M828" s="37">
        <v>44924</v>
      </c>
      <c r="N828">
        <v>105478106000</v>
      </c>
    </row>
    <row r="829" spans="13:14" x14ac:dyDescent="0.25">
      <c r="M829" s="37">
        <v>44925</v>
      </c>
      <c r="N829">
        <v>105683336000</v>
      </c>
    </row>
    <row r="830" spans="13:14" x14ac:dyDescent="0.25">
      <c r="M830" s="37">
        <v>44929</v>
      </c>
      <c r="N830">
        <v>104306478000</v>
      </c>
    </row>
    <row r="831" spans="13:14" x14ac:dyDescent="0.25">
      <c r="M831" s="37">
        <v>44930</v>
      </c>
      <c r="N831">
        <v>103044122000</v>
      </c>
    </row>
    <row r="832" spans="13:14" x14ac:dyDescent="0.25">
      <c r="M832" s="37">
        <v>44931</v>
      </c>
      <c r="N832">
        <v>102338924000</v>
      </c>
    </row>
    <row r="833" spans="13:14" x14ac:dyDescent="0.25">
      <c r="M833" s="37">
        <v>44932</v>
      </c>
      <c r="N833">
        <v>102704455000</v>
      </c>
    </row>
    <row r="834" spans="13:14" x14ac:dyDescent="0.25">
      <c r="M834" s="37">
        <v>44936</v>
      </c>
      <c r="N834">
        <v>103537756000</v>
      </c>
    </row>
    <row r="835" spans="13:14" x14ac:dyDescent="0.25">
      <c r="M835" s="37">
        <v>44937</v>
      </c>
      <c r="N835">
        <v>104816794000</v>
      </c>
    </row>
    <row r="836" spans="13:14" x14ac:dyDescent="0.25">
      <c r="M836" s="37">
        <v>44938</v>
      </c>
      <c r="N836">
        <v>106308930000</v>
      </c>
    </row>
    <row r="837" spans="13:14" x14ac:dyDescent="0.25">
      <c r="M837" s="37">
        <v>44939</v>
      </c>
      <c r="N837">
        <v>106730326000</v>
      </c>
    </row>
    <row r="838" spans="13:14" x14ac:dyDescent="0.25">
      <c r="M838" s="37">
        <v>44943</v>
      </c>
      <c r="N838">
        <v>105301838000</v>
      </c>
    </row>
    <row r="839" spans="13:14" x14ac:dyDescent="0.25">
      <c r="M839" s="37">
        <v>44944</v>
      </c>
      <c r="N839">
        <v>105730261000</v>
      </c>
    </row>
    <row r="840" spans="13:14" x14ac:dyDescent="0.25">
      <c r="M840" s="37">
        <v>44945</v>
      </c>
      <c r="N840">
        <v>105443192000</v>
      </c>
    </row>
    <row r="841" spans="13:14" x14ac:dyDescent="0.25">
      <c r="M841" s="37">
        <v>44946</v>
      </c>
      <c r="N841">
        <v>105461044000</v>
      </c>
    </row>
    <row r="842" spans="13:14" x14ac:dyDescent="0.25">
      <c r="M842" s="37">
        <v>44950</v>
      </c>
      <c r="N842">
        <v>102671174000</v>
      </c>
    </row>
    <row r="843" spans="13:14" x14ac:dyDescent="0.25">
      <c r="M843" s="37">
        <v>44951</v>
      </c>
      <c r="N843">
        <v>103527921000</v>
      </c>
    </row>
    <row r="844" spans="13:14" x14ac:dyDescent="0.25">
      <c r="M844" s="37">
        <v>44952</v>
      </c>
      <c r="N844">
        <v>103674260000</v>
      </c>
    </row>
    <row r="845" spans="13:14" x14ac:dyDescent="0.25">
      <c r="M845" s="37">
        <v>44953</v>
      </c>
      <c r="N845">
        <v>103190970000</v>
      </c>
    </row>
    <row r="846" spans="13:14" x14ac:dyDescent="0.25">
      <c r="M846" s="37">
        <v>44957</v>
      </c>
      <c r="N846">
        <v>102982165000</v>
      </c>
    </row>
    <row r="847" spans="13:14" x14ac:dyDescent="0.25">
      <c r="M847" s="37">
        <v>44958</v>
      </c>
      <c r="N847">
        <v>103216110000</v>
      </c>
    </row>
    <row r="848" spans="13:14" x14ac:dyDescent="0.25">
      <c r="M848" s="37">
        <v>44959</v>
      </c>
      <c r="N848">
        <v>103604330000</v>
      </c>
    </row>
    <row r="849" spans="13:14" x14ac:dyDescent="0.25">
      <c r="M849" s="37">
        <v>44960</v>
      </c>
      <c r="N849">
        <v>103574231000</v>
      </c>
    </row>
    <row r="850" spans="13:14" x14ac:dyDescent="0.25">
      <c r="M850" s="37">
        <v>44964</v>
      </c>
      <c r="N850">
        <v>103456299000</v>
      </c>
    </row>
    <row r="851" spans="13:14" x14ac:dyDescent="0.25">
      <c r="M851" s="37">
        <v>44965</v>
      </c>
      <c r="N851">
        <v>103588931000</v>
      </c>
    </row>
    <row r="852" spans="13:14" x14ac:dyDescent="0.25">
      <c r="M852" s="37">
        <v>44966</v>
      </c>
      <c r="N852">
        <v>104227268000</v>
      </c>
    </row>
    <row r="853" spans="13:14" x14ac:dyDescent="0.25">
      <c r="M853" s="37">
        <v>44967</v>
      </c>
      <c r="N853">
        <v>103417560000</v>
      </c>
    </row>
    <row r="854" spans="13:14" x14ac:dyDescent="0.25">
      <c r="M854" s="37">
        <v>44971</v>
      </c>
      <c r="N854">
        <v>103674473000</v>
      </c>
    </row>
    <row r="855" spans="13:14" x14ac:dyDescent="0.25">
      <c r="M855" s="37">
        <v>44972</v>
      </c>
      <c r="N855">
        <v>104021950000</v>
      </c>
    </row>
    <row r="856" spans="13:14" x14ac:dyDescent="0.25">
      <c r="M856" s="37">
        <v>44973</v>
      </c>
      <c r="N856">
        <v>105659792000</v>
      </c>
    </row>
    <row r="857" spans="13:14" x14ac:dyDescent="0.25">
      <c r="M857" s="37">
        <v>44974</v>
      </c>
      <c r="N857">
        <v>105735909000</v>
      </c>
    </row>
    <row r="858" spans="13:14" x14ac:dyDescent="0.25">
      <c r="M858" s="37">
        <v>44980</v>
      </c>
      <c r="N858">
        <v>105676022000</v>
      </c>
    </row>
    <row r="859" spans="13:14" x14ac:dyDescent="0.25">
      <c r="M859" s="37">
        <v>44981</v>
      </c>
      <c r="N859">
        <v>105282785000</v>
      </c>
    </row>
    <row r="860" spans="13:14" x14ac:dyDescent="0.25">
      <c r="M860" s="37">
        <v>44985</v>
      </c>
      <c r="N860">
        <v>105290666000</v>
      </c>
    </row>
    <row r="861" spans="13:14" x14ac:dyDescent="0.25">
      <c r="M861" s="37">
        <v>44986</v>
      </c>
      <c r="N861">
        <v>104365653000</v>
      </c>
    </row>
    <row r="862" spans="13:14" x14ac:dyDescent="0.25">
      <c r="M862" s="37">
        <v>44987</v>
      </c>
      <c r="N862">
        <v>104222375000</v>
      </c>
    </row>
    <row r="863" spans="13:14" x14ac:dyDescent="0.25">
      <c r="M863" s="37">
        <v>44988</v>
      </c>
      <c r="N863">
        <v>103627079000</v>
      </c>
    </row>
    <row r="864" spans="13:14" x14ac:dyDescent="0.25">
      <c r="M864" s="37">
        <v>44992</v>
      </c>
      <c r="N864">
        <v>103748261000</v>
      </c>
    </row>
    <row r="865" spans="13:14" x14ac:dyDescent="0.25">
      <c r="M865" s="37">
        <v>44993</v>
      </c>
      <c r="N865">
        <v>104237072000</v>
      </c>
    </row>
    <row r="866" spans="13:14" x14ac:dyDescent="0.25">
      <c r="M866" s="37">
        <v>44994</v>
      </c>
      <c r="N866">
        <v>104720196000</v>
      </c>
    </row>
    <row r="867" spans="13:14" x14ac:dyDescent="0.25">
      <c r="M867" s="37">
        <v>44995</v>
      </c>
      <c r="N867">
        <v>105737664000</v>
      </c>
    </row>
    <row r="868" spans="13:14" x14ac:dyDescent="0.25">
      <c r="M868" s="37">
        <v>44999</v>
      </c>
      <c r="N868">
        <v>106109628000</v>
      </c>
    </row>
    <row r="869" spans="13:14" x14ac:dyDescent="0.25">
      <c r="M869" s="37">
        <v>45000</v>
      </c>
      <c r="N869">
        <v>105419312000</v>
      </c>
    </row>
    <row r="870" spans="13:14" x14ac:dyDescent="0.25">
      <c r="M870" s="37">
        <v>45001</v>
      </c>
      <c r="N870">
        <v>105736068000</v>
      </c>
    </row>
    <row r="871" spans="13:14" x14ac:dyDescent="0.25">
      <c r="M871" s="37">
        <v>45002</v>
      </c>
      <c r="N871">
        <v>106303279000</v>
      </c>
    </row>
    <row r="872" spans="13:14" x14ac:dyDescent="0.25">
      <c r="M872" s="37">
        <v>45006</v>
      </c>
      <c r="N872">
        <v>106734898000</v>
      </c>
    </row>
    <row r="873" spans="13:14" x14ac:dyDescent="0.25">
      <c r="M873" s="37">
        <v>45007</v>
      </c>
      <c r="N873">
        <v>106577156000</v>
      </c>
    </row>
    <row r="874" spans="13:14" x14ac:dyDescent="0.25">
      <c r="M874" s="37">
        <v>45008</v>
      </c>
      <c r="N874">
        <v>107217368000</v>
      </c>
    </row>
    <row r="875" spans="13:14" x14ac:dyDescent="0.25">
      <c r="M875" s="37">
        <v>45009</v>
      </c>
      <c r="N875">
        <v>107474232000</v>
      </c>
    </row>
    <row r="876" spans="13:14" x14ac:dyDescent="0.25">
      <c r="M876" s="37">
        <v>45013</v>
      </c>
      <c r="N876">
        <v>108874573000</v>
      </c>
    </row>
    <row r="877" spans="13:14" x14ac:dyDescent="0.25">
      <c r="M877" s="37">
        <v>45014</v>
      </c>
      <c r="N877">
        <v>108794863000</v>
      </c>
    </row>
    <row r="878" spans="13:14" x14ac:dyDescent="0.25">
      <c r="M878" s="37">
        <v>45015</v>
      </c>
      <c r="N878">
        <v>108641029000</v>
      </c>
    </row>
    <row r="879" spans="13:14" x14ac:dyDescent="0.25">
      <c r="M879" s="37">
        <v>45016</v>
      </c>
      <c r="N879">
        <v>109248763000</v>
      </c>
    </row>
    <row r="880" spans="13:14" x14ac:dyDescent="0.25">
      <c r="M880" s="37">
        <v>45020</v>
      </c>
      <c r="N880">
        <v>109676293000</v>
      </c>
    </row>
    <row r="881" spans="13:14" x14ac:dyDescent="0.25">
      <c r="M881" s="37">
        <v>45021</v>
      </c>
      <c r="N881">
        <v>110046842000</v>
      </c>
    </row>
    <row r="882" spans="13:14" x14ac:dyDescent="0.25">
      <c r="M882" s="37">
        <v>45022</v>
      </c>
      <c r="N882">
        <v>110284703000</v>
      </c>
    </row>
    <row r="883" spans="13:14" x14ac:dyDescent="0.25">
      <c r="M883" s="37">
        <v>45027</v>
      </c>
      <c r="N883">
        <v>109553115000</v>
      </c>
    </row>
    <row r="884" spans="13:14" x14ac:dyDescent="0.25">
      <c r="M884" s="37">
        <v>45028</v>
      </c>
      <c r="N884">
        <v>110488835000</v>
      </c>
    </row>
    <row r="885" spans="13:14" x14ac:dyDescent="0.25">
      <c r="M885" s="37">
        <v>45033</v>
      </c>
      <c r="N885">
        <v>112136826000</v>
      </c>
    </row>
    <row r="886" spans="13:14" x14ac:dyDescent="0.25">
      <c r="M886" s="37">
        <v>45035</v>
      </c>
      <c r="N886">
        <v>112239260000</v>
      </c>
    </row>
    <row r="887" spans="13:14" x14ac:dyDescent="0.25">
      <c r="M887" s="37">
        <v>45036</v>
      </c>
      <c r="N887">
        <v>111408918000</v>
      </c>
    </row>
    <row r="888" spans="13:14" x14ac:dyDescent="0.25">
      <c r="M888" s="37">
        <v>45041</v>
      </c>
      <c r="N888">
        <v>112578107000</v>
      </c>
    </row>
    <row r="889" spans="13:14" x14ac:dyDescent="0.25">
      <c r="M889" s="37">
        <v>45042</v>
      </c>
      <c r="N889">
        <v>113148530000</v>
      </c>
    </row>
    <row r="890" spans="13:14" x14ac:dyDescent="0.25">
      <c r="M890" s="37">
        <v>45043</v>
      </c>
      <c r="N890">
        <v>113694123000</v>
      </c>
    </row>
    <row r="891" spans="13:14" x14ac:dyDescent="0.25">
      <c r="M891" s="37">
        <v>45047</v>
      </c>
      <c r="N891">
        <v>113999186000</v>
      </c>
    </row>
    <row r="892" spans="13:14" x14ac:dyDescent="0.25">
      <c r="M892" s="37">
        <v>45049</v>
      </c>
      <c r="N892">
        <v>113474578000</v>
      </c>
    </row>
    <row r="893" spans="13:14" x14ac:dyDescent="0.25">
      <c r="M893" s="37">
        <v>45050</v>
      </c>
      <c r="N893">
        <v>113982481000</v>
      </c>
    </row>
    <row r="894" spans="13:14" x14ac:dyDescent="0.25">
      <c r="M894" s="37">
        <v>45054</v>
      </c>
      <c r="N894">
        <v>114763662000</v>
      </c>
    </row>
    <row r="895" spans="13:14" x14ac:dyDescent="0.25">
      <c r="M895" s="37">
        <v>45055</v>
      </c>
      <c r="N895">
        <v>114487944000</v>
      </c>
    </row>
    <row r="896" spans="13:14" x14ac:dyDescent="0.25">
      <c r="M896" s="37">
        <v>45056</v>
      </c>
      <c r="N896">
        <v>114161073000</v>
      </c>
    </row>
    <row r="897" spans="13:14" x14ac:dyDescent="0.25">
      <c r="M897" s="37">
        <v>45057</v>
      </c>
      <c r="N897">
        <v>114968765000</v>
      </c>
    </row>
    <row r="898" spans="13:14" x14ac:dyDescent="0.25">
      <c r="M898" s="37">
        <v>45058</v>
      </c>
      <c r="N898">
        <v>115812688000</v>
      </c>
    </row>
    <row r="899" spans="13:14" x14ac:dyDescent="0.25">
      <c r="M899" s="37">
        <v>45062</v>
      </c>
      <c r="N899">
        <v>114538273000</v>
      </c>
    </row>
    <row r="900" spans="13:14" x14ac:dyDescent="0.25">
      <c r="M900" s="37">
        <v>45063</v>
      </c>
      <c r="N900">
        <v>113979686000</v>
      </c>
    </row>
    <row r="901" spans="13:14" x14ac:dyDescent="0.25">
      <c r="M901" s="37">
        <v>45064</v>
      </c>
      <c r="N901">
        <v>114291086000</v>
      </c>
    </row>
    <row r="902" spans="13:14" x14ac:dyDescent="0.25">
      <c r="M902" s="37">
        <v>45065</v>
      </c>
      <c r="N902">
        <v>114047410000</v>
      </c>
    </row>
    <row r="903" spans="13:14" x14ac:dyDescent="0.25">
      <c r="M903" s="37">
        <v>45069</v>
      </c>
      <c r="N903">
        <v>114129848000</v>
      </c>
    </row>
    <row r="904" spans="13:14" x14ac:dyDescent="0.25">
      <c r="M904" s="37">
        <v>45070</v>
      </c>
      <c r="N904">
        <v>114466385000</v>
      </c>
    </row>
    <row r="905" spans="13:14" x14ac:dyDescent="0.25">
      <c r="M905" s="37">
        <v>45071</v>
      </c>
      <c r="N905">
        <v>114726244000</v>
      </c>
    </row>
    <row r="906" spans="13:14" x14ac:dyDescent="0.25">
      <c r="M906" s="37">
        <v>45072</v>
      </c>
      <c r="N906">
        <v>115467152000</v>
      </c>
    </row>
    <row r="907" spans="13:14" x14ac:dyDescent="0.25">
      <c r="M907" s="37">
        <v>45076</v>
      </c>
      <c r="N907">
        <v>116142356000</v>
      </c>
    </row>
    <row r="908" spans="13:14" x14ac:dyDescent="0.25">
      <c r="M908" s="37">
        <v>45077</v>
      </c>
      <c r="N908">
        <v>116197247000</v>
      </c>
    </row>
    <row r="909" spans="13:14" x14ac:dyDescent="0.25">
      <c r="M909" s="37">
        <v>45078</v>
      </c>
      <c r="N909">
        <v>116124988000</v>
      </c>
    </row>
    <row r="910" spans="13:14" x14ac:dyDescent="0.25">
      <c r="M910" s="37">
        <v>45079</v>
      </c>
      <c r="N910">
        <v>116205773000</v>
      </c>
    </row>
    <row r="911" spans="13:14" x14ac:dyDescent="0.25">
      <c r="M911" s="37">
        <v>45083</v>
      </c>
      <c r="N911">
        <v>118022155000</v>
      </c>
    </row>
    <row r="912" spans="13:14" x14ac:dyDescent="0.25">
      <c r="M912" s="37">
        <v>45084</v>
      </c>
      <c r="N912">
        <v>118609149000</v>
      </c>
    </row>
    <row r="913" spans="13:14" x14ac:dyDescent="0.25">
      <c r="M913" s="37">
        <v>45090</v>
      </c>
      <c r="N913">
        <v>117755624000</v>
      </c>
    </row>
    <row r="914" spans="13:14" x14ac:dyDescent="0.25">
      <c r="M914" s="37">
        <v>45091</v>
      </c>
      <c r="N914">
        <v>116721697000</v>
      </c>
    </row>
    <row r="915" spans="13:14" x14ac:dyDescent="0.25">
      <c r="M915" s="37">
        <v>45092</v>
      </c>
      <c r="N915">
        <v>117591586000</v>
      </c>
    </row>
    <row r="916" spans="13:14" x14ac:dyDescent="0.25">
      <c r="M916" s="37">
        <v>45093</v>
      </c>
      <c r="N916">
        <v>117904100000</v>
      </c>
    </row>
    <row r="917" spans="13:14" x14ac:dyDescent="0.25">
      <c r="M917" s="37">
        <v>45097</v>
      </c>
      <c r="N917">
        <v>118494224000</v>
      </c>
    </row>
    <row r="918" spans="13:14" x14ac:dyDescent="0.25">
      <c r="M918" s="37">
        <v>45098</v>
      </c>
      <c r="N918">
        <v>118513825000</v>
      </c>
    </row>
    <row r="919" spans="13:14" x14ac:dyDescent="0.25">
      <c r="M919" s="37">
        <v>45099</v>
      </c>
      <c r="N919">
        <v>119087875000</v>
      </c>
    </row>
    <row r="920" spans="13:14" x14ac:dyDescent="0.25">
      <c r="M920" s="37">
        <v>45100</v>
      </c>
      <c r="N920">
        <v>119026011000</v>
      </c>
    </row>
    <row r="921" spans="13:14" x14ac:dyDescent="0.25">
      <c r="M921" s="37">
        <v>45104</v>
      </c>
      <c r="N921">
        <v>119291606000</v>
      </c>
    </row>
    <row r="922" spans="13:14" x14ac:dyDescent="0.25">
      <c r="M922" s="37">
        <v>45105</v>
      </c>
      <c r="N922">
        <v>118905438000</v>
      </c>
    </row>
    <row r="923" spans="13:14" x14ac:dyDescent="0.25">
      <c r="M923" s="37">
        <v>45106</v>
      </c>
      <c r="N923">
        <v>118483360000</v>
      </c>
    </row>
    <row r="924" spans="13:14" x14ac:dyDescent="0.25">
      <c r="M924" s="37">
        <v>45107</v>
      </c>
      <c r="N924">
        <v>119350926000</v>
      </c>
    </row>
    <row r="925" spans="13:14" x14ac:dyDescent="0.25">
      <c r="M925" s="37">
        <v>45111</v>
      </c>
      <c r="N925">
        <v>121277706000</v>
      </c>
    </row>
    <row r="926" spans="13:14" x14ac:dyDescent="0.25">
      <c r="M926" s="37">
        <v>45112</v>
      </c>
      <c r="N926">
        <v>120333733000</v>
      </c>
    </row>
    <row r="927" spans="13:14" x14ac:dyDescent="0.25">
      <c r="M927" s="37">
        <v>45113</v>
      </c>
      <c r="N927">
        <v>119721363000</v>
      </c>
    </row>
    <row r="928" spans="13:14" x14ac:dyDescent="0.25">
      <c r="M928" s="37">
        <v>45114</v>
      </c>
      <c r="N928">
        <v>119276377000</v>
      </c>
    </row>
    <row r="929" spans="13:14" x14ac:dyDescent="0.25">
      <c r="M929" s="37">
        <v>45118</v>
      </c>
      <c r="N929">
        <v>119457966000</v>
      </c>
    </row>
    <row r="930" spans="13:14" x14ac:dyDescent="0.25">
      <c r="M930" s="37">
        <v>45119</v>
      </c>
      <c r="N930">
        <v>119546094000</v>
      </c>
    </row>
    <row r="931" spans="13:14" x14ac:dyDescent="0.25">
      <c r="M931" s="37">
        <v>45120</v>
      </c>
      <c r="N931">
        <v>119806894000</v>
      </c>
    </row>
    <row r="932" spans="13:14" x14ac:dyDescent="0.25">
      <c r="M932" s="37">
        <v>45121</v>
      </c>
      <c r="N932">
        <v>119652514000</v>
      </c>
    </row>
    <row r="933" spans="13:14" x14ac:dyDescent="0.25">
      <c r="M933" s="37">
        <v>45125</v>
      </c>
      <c r="N933">
        <v>119258430000</v>
      </c>
    </row>
    <row r="934" spans="13:14" x14ac:dyDescent="0.25">
      <c r="M934" s="37">
        <v>45126</v>
      </c>
      <c r="N934">
        <v>119822403000</v>
      </c>
    </row>
    <row r="935" spans="13:14" x14ac:dyDescent="0.25">
      <c r="M935" s="37">
        <v>45127</v>
      </c>
      <c r="N935">
        <v>119702222000</v>
      </c>
    </row>
    <row r="936" spans="13:14" x14ac:dyDescent="0.25">
      <c r="M936" s="37">
        <v>45128</v>
      </c>
      <c r="N936">
        <v>120075298000</v>
      </c>
    </row>
    <row r="937" spans="13:14" x14ac:dyDescent="0.25">
      <c r="M937" s="37">
        <v>45132</v>
      </c>
      <c r="N937">
        <v>121023627000</v>
      </c>
    </row>
    <row r="938" spans="13:14" x14ac:dyDescent="0.25">
      <c r="M938" s="37">
        <v>45133</v>
      </c>
      <c r="N938">
        <v>121199110000</v>
      </c>
    </row>
    <row r="939" spans="13:14" x14ac:dyDescent="0.25">
      <c r="M939" s="37">
        <v>45134</v>
      </c>
      <c r="N939">
        <v>121290062000</v>
      </c>
    </row>
    <row r="940" spans="13:14" x14ac:dyDescent="0.25">
      <c r="M940" s="37">
        <v>45135</v>
      </c>
      <c r="N940">
        <v>121084009000</v>
      </c>
    </row>
    <row r="941" spans="13:14" x14ac:dyDescent="0.25">
      <c r="M941" s="37">
        <v>45139</v>
      </c>
      <c r="N941">
        <v>122241207000</v>
      </c>
    </row>
    <row r="942" spans="13:14" x14ac:dyDescent="0.25">
      <c r="M942" s="37">
        <v>45140</v>
      </c>
      <c r="N942">
        <v>122298334000</v>
      </c>
    </row>
    <row r="943" spans="13:14" x14ac:dyDescent="0.25">
      <c r="M943" s="37">
        <v>45141</v>
      </c>
      <c r="N943">
        <v>122794716000</v>
      </c>
    </row>
    <row r="944" spans="13:14" x14ac:dyDescent="0.25">
      <c r="M944" s="37">
        <v>45142</v>
      </c>
      <c r="N944">
        <v>122453951000</v>
      </c>
    </row>
    <row r="945" spans="13:14" x14ac:dyDescent="0.25">
      <c r="M945" s="37">
        <v>45146</v>
      </c>
      <c r="N945">
        <v>122691972000</v>
      </c>
    </row>
    <row r="946" spans="13:14" x14ac:dyDescent="0.25">
      <c r="M946" s="37">
        <v>45147</v>
      </c>
      <c r="N946">
        <v>123755520000</v>
      </c>
    </row>
    <row r="947" spans="13:14" x14ac:dyDescent="0.25">
      <c r="M947" s="37">
        <v>45148</v>
      </c>
      <c r="N947">
        <v>123973067000</v>
      </c>
    </row>
    <row r="948" spans="13:14" x14ac:dyDescent="0.25">
      <c r="M948" s="37">
        <v>45149</v>
      </c>
      <c r="N948">
        <v>124201150000</v>
      </c>
    </row>
    <row r="949" spans="13:14" x14ac:dyDescent="0.25">
      <c r="M949" s="37">
        <v>45153</v>
      </c>
      <c r="N949">
        <v>124068557000</v>
      </c>
    </row>
    <row r="950" spans="13:14" x14ac:dyDescent="0.25">
      <c r="M950" s="37">
        <v>45154</v>
      </c>
      <c r="N950">
        <v>124296800000</v>
      </c>
    </row>
    <row r="951" spans="13:14" x14ac:dyDescent="0.25">
      <c r="M951" s="37">
        <v>45155</v>
      </c>
      <c r="N951">
        <v>124164843000</v>
      </c>
    </row>
    <row r="952" spans="13:14" x14ac:dyDescent="0.25">
      <c r="M952" s="37">
        <v>45156</v>
      </c>
      <c r="N952">
        <v>123616763000</v>
      </c>
    </row>
    <row r="953" spans="13:14" x14ac:dyDescent="0.25">
      <c r="M953" s="37">
        <v>45160</v>
      </c>
      <c r="N953">
        <v>121827759000</v>
      </c>
    </row>
    <row r="954" spans="13:14" x14ac:dyDescent="0.25">
      <c r="M954" s="37">
        <v>45161</v>
      </c>
      <c r="N954">
        <v>121265281000</v>
      </c>
    </row>
    <row r="955" spans="13:14" x14ac:dyDescent="0.25">
      <c r="M955" s="37">
        <v>45162</v>
      </c>
      <c r="N955">
        <v>121728931000</v>
      </c>
    </row>
    <row r="956" spans="13:14" x14ac:dyDescent="0.25">
      <c r="M956" s="37">
        <v>45163</v>
      </c>
      <c r="N956">
        <v>121590577000</v>
      </c>
    </row>
    <row r="957" spans="13:14" x14ac:dyDescent="0.25">
      <c r="M957" s="37">
        <v>45167</v>
      </c>
      <c r="N957">
        <v>121146663000</v>
      </c>
    </row>
    <row r="958" spans="13:14" x14ac:dyDescent="0.25">
      <c r="M958" s="37">
        <v>45168</v>
      </c>
      <c r="N958">
        <v>121576592000</v>
      </c>
    </row>
    <row r="959" spans="13:14" x14ac:dyDescent="0.25">
      <c r="M959" s="37">
        <v>45169</v>
      </c>
      <c r="N959">
        <v>121195534000</v>
      </c>
    </row>
    <row r="960" spans="13:14" x14ac:dyDescent="0.25">
      <c r="M960" s="37">
        <v>45170</v>
      </c>
      <c r="N960">
        <v>119658667000</v>
      </c>
    </row>
    <row r="961" spans="13:14" x14ac:dyDescent="0.25">
      <c r="M961" s="37">
        <v>45174</v>
      </c>
      <c r="N961">
        <v>119248902000</v>
      </c>
    </row>
    <row r="962" spans="13:14" x14ac:dyDescent="0.25">
      <c r="M962" s="37">
        <v>45175</v>
      </c>
      <c r="N962">
        <v>118694747000</v>
      </c>
    </row>
    <row r="963" spans="13:14" x14ac:dyDescent="0.25">
      <c r="M963" s="37">
        <v>45181</v>
      </c>
      <c r="N963">
        <v>118867575000</v>
      </c>
    </row>
    <row r="964" spans="13:14" x14ac:dyDescent="0.25">
      <c r="M964" s="37">
        <v>45182</v>
      </c>
      <c r="N964">
        <v>119186481000</v>
      </c>
    </row>
    <row r="965" spans="13:14" x14ac:dyDescent="0.25">
      <c r="M965" s="37">
        <v>45183</v>
      </c>
      <c r="N965">
        <v>119399643000</v>
      </c>
    </row>
    <row r="966" spans="13:14" x14ac:dyDescent="0.25">
      <c r="M966" s="37">
        <v>45184</v>
      </c>
      <c r="N966">
        <v>119330582000</v>
      </c>
    </row>
    <row r="967" spans="13:14" x14ac:dyDescent="0.25">
      <c r="M967" s="37">
        <v>45188</v>
      </c>
      <c r="N967">
        <v>118540730000</v>
      </c>
    </row>
    <row r="968" spans="13:14" x14ac:dyDescent="0.25">
      <c r="M968" s="37">
        <v>45189</v>
      </c>
      <c r="N968">
        <v>118330880000</v>
      </c>
    </row>
    <row r="969" spans="13:14" x14ac:dyDescent="0.25">
      <c r="M969" s="37">
        <v>45190</v>
      </c>
      <c r="N969">
        <v>118644627000</v>
      </c>
    </row>
    <row r="970" spans="13:14" x14ac:dyDescent="0.25">
      <c r="M970" s="37">
        <v>45191</v>
      </c>
      <c r="N970">
        <v>118327760000</v>
      </c>
    </row>
    <row r="971" spans="13:14" x14ac:dyDescent="0.25">
      <c r="M971" s="37">
        <v>45196</v>
      </c>
      <c r="N971">
        <v>114801947000</v>
      </c>
    </row>
    <row r="972" spans="13:14" x14ac:dyDescent="0.25">
      <c r="M972" s="37">
        <v>45197</v>
      </c>
      <c r="N972">
        <v>114283760000</v>
      </c>
    </row>
    <row r="973" spans="13:14" x14ac:dyDescent="0.25">
      <c r="M973" s="37">
        <v>45198</v>
      </c>
      <c r="N973">
        <v>115573596000</v>
      </c>
    </row>
    <row r="974" spans="13:14" x14ac:dyDescent="0.25">
      <c r="M974" s="37">
        <v>45202</v>
      </c>
      <c r="N974">
        <v>115370803000</v>
      </c>
    </row>
    <row r="975" spans="13:14" x14ac:dyDescent="0.25">
      <c r="M975" s="37">
        <v>45203</v>
      </c>
      <c r="N975">
        <v>114197807000</v>
      </c>
    </row>
    <row r="976" spans="13:14" x14ac:dyDescent="0.25">
      <c r="M976" s="37">
        <v>45204</v>
      </c>
      <c r="N976">
        <v>114484081000</v>
      </c>
    </row>
    <row r="977" spans="13:14" x14ac:dyDescent="0.25">
      <c r="M977" s="37">
        <v>45205</v>
      </c>
      <c r="N977">
        <v>114375433000</v>
      </c>
    </row>
    <row r="978" spans="13:14" x14ac:dyDescent="0.25">
      <c r="M978" s="37">
        <v>45209</v>
      </c>
      <c r="N978">
        <v>115959060000</v>
      </c>
    </row>
    <row r="979" spans="13:14" x14ac:dyDescent="0.25">
      <c r="M979" s="37">
        <v>45211</v>
      </c>
      <c r="N979">
        <v>116517438000</v>
      </c>
    </row>
    <row r="980" spans="13:14" x14ac:dyDescent="0.25">
      <c r="M980" s="37">
        <v>45216</v>
      </c>
      <c r="N980">
        <v>116459352000</v>
      </c>
    </row>
    <row r="981" spans="13:14" x14ac:dyDescent="0.25">
      <c r="M981" s="37">
        <v>45217</v>
      </c>
      <c r="N981">
        <v>115835198000</v>
      </c>
    </row>
    <row r="982" spans="13:14" x14ac:dyDescent="0.25">
      <c r="M982" s="37">
        <v>45218</v>
      </c>
      <c r="N982">
        <v>115919293000</v>
      </c>
    </row>
    <row r="983" spans="13:14" x14ac:dyDescent="0.25">
      <c r="M983" s="37">
        <v>45223</v>
      </c>
      <c r="N983">
        <v>114601849000</v>
      </c>
    </row>
    <row r="984" spans="13:14" x14ac:dyDescent="0.25">
      <c r="M984" s="37">
        <v>45224</v>
      </c>
      <c r="N984">
        <v>115192227000</v>
      </c>
    </row>
    <row r="985" spans="13:14" x14ac:dyDescent="0.25">
      <c r="M985" s="37">
        <v>45225</v>
      </c>
      <c r="N985">
        <v>115004063000</v>
      </c>
    </row>
    <row r="986" spans="13:14" x14ac:dyDescent="0.25">
      <c r="M986" s="37">
        <v>45226</v>
      </c>
      <c r="N986">
        <v>116986460000</v>
      </c>
    </row>
    <row r="987" spans="13:14" x14ac:dyDescent="0.25">
      <c r="M987" s="37">
        <v>45230</v>
      </c>
      <c r="N987">
        <v>115568325000</v>
      </c>
    </row>
    <row r="988" spans="13:14" x14ac:dyDescent="0.25">
      <c r="M988" s="37">
        <v>45238</v>
      </c>
      <c r="N988">
        <v>116681157000</v>
      </c>
    </row>
    <row r="989" spans="13:14" x14ac:dyDescent="0.25">
      <c r="M989" s="37">
        <v>45239</v>
      </c>
      <c r="N989">
        <v>117569004000</v>
      </c>
    </row>
    <row r="990" spans="13:14" x14ac:dyDescent="0.25">
      <c r="M990" s="37">
        <v>45240</v>
      </c>
      <c r="N990">
        <v>117276206000</v>
      </c>
    </row>
    <row r="991" spans="13:14" x14ac:dyDescent="0.25">
      <c r="M991" s="37">
        <v>45244</v>
      </c>
      <c r="N991">
        <v>116844874000</v>
      </c>
    </row>
    <row r="992" spans="13:14" x14ac:dyDescent="0.25">
      <c r="M992" s="37">
        <v>45247</v>
      </c>
      <c r="N992">
        <v>115863715000</v>
      </c>
    </row>
    <row r="993" spans="13:14" x14ac:dyDescent="0.25">
      <c r="M993" s="37">
        <v>45252</v>
      </c>
      <c r="N993">
        <v>115048707000</v>
      </c>
    </row>
    <row r="994" spans="13:14" x14ac:dyDescent="0.25">
      <c r="M994" s="37">
        <v>45254</v>
      </c>
      <c r="N994">
        <v>115580994000</v>
      </c>
    </row>
    <row r="995" spans="13:14" x14ac:dyDescent="0.25">
      <c r="M995" s="37">
        <v>45258</v>
      </c>
      <c r="N995">
        <v>115961061000</v>
      </c>
    </row>
    <row r="996" spans="13:14" x14ac:dyDescent="0.25">
      <c r="M996" s="37">
        <v>45259</v>
      </c>
      <c r="N996">
        <v>116572840000</v>
      </c>
    </row>
    <row r="997" spans="13:14" x14ac:dyDescent="0.25">
      <c r="M997" s="37">
        <v>45261</v>
      </c>
      <c r="N997">
        <v>116546155000</v>
      </c>
    </row>
    <row r="998" spans="13:14" x14ac:dyDescent="0.25">
      <c r="M998" s="37">
        <v>45264</v>
      </c>
      <c r="N998">
        <v>116834122000</v>
      </c>
    </row>
    <row r="999" spans="13:14" x14ac:dyDescent="0.25">
      <c r="M999" s="37">
        <v>45265</v>
      </c>
      <c r="N999">
        <v>117014287000</v>
      </c>
    </row>
    <row r="1000" spans="13:14" x14ac:dyDescent="0.25">
      <c r="M1000" s="37">
        <v>45267</v>
      </c>
      <c r="N1000">
        <v>117119830000</v>
      </c>
    </row>
    <row r="1001" spans="13:14" x14ac:dyDescent="0.25">
      <c r="M1001" s="37">
        <v>45268</v>
      </c>
      <c r="N1001">
        <v>116789110000</v>
      </c>
    </row>
    <row r="1002" spans="13:14" x14ac:dyDescent="0.25">
      <c r="M1002" s="37">
        <v>45272</v>
      </c>
      <c r="N1002">
        <v>116824397000</v>
      </c>
    </row>
    <row r="1003" spans="13:14" x14ac:dyDescent="0.25">
      <c r="M1003" s="37">
        <v>45273</v>
      </c>
      <c r="N1003">
        <v>117369004000</v>
      </c>
    </row>
    <row r="1004" spans="13:14" x14ac:dyDescent="0.25">
      <c r="M1004" s="37">
        <v>45274</v>
      </c>
      <c r="N1004">
        <v>119256845000</v>
      </c>
    </row>
    <row r="1005" spans="13:14" x14ac:dyDescent="0.25">
      <c r="M1005" s="37">
        <v>45275</v>
      </c>
      <c r="N1005">
        <v>119926112000</v>
      </c>
    </row>
    <row r="1006" spans="13:14" x14ac:dyDescent="0.25">
      <c r="M1006" s="37">
        <v>45279</v>
      </c>
      <c r="N1006">
        <v>120914655000</v>
      </c>
    </row>
    <row r="1007" spans="13:14" x14ac:dyDescent="0.25">
      <c r="M1007" s="37">
        <v>45280</v>
      </c>
      <c r="N1007">
        <v>121200867000</v>
      </c>
    </row>
    <row r="1008" spans="13:14" x14ac:dyDescent="0.25">
      <c r="M1008" s="37">
        <v>45281</v>
      </c>
      <c r="N1008">
        <v>121511830000</v>
      </c>
    </row>
    <row r="1009" spans="13:14" x14ac:dyDescent="0.25">
      <c r="M1009" s="37">
        <v>45282</v>
      </c>
      <c r="N1009">
        <v>121675618000</v>
      </c>
    </row>
    <row r="1010" spans="13:14" x14ac:dyDescent="0.25">
      <c r="M1010" s="37">
        <v>45287</v>
      </c>
      <c r="N1010">
        <v>122127756000</v>
      </c>
    </row>
    <row r="1011" spans="13:14" x14ac:dyDescent="0.25">
      <c r="M1011" s="37">
        <v>45288</v>
      </c>
      <c r="N1011">
        <v>122387456000</v>
      </c>
    </row>
    <row r="1012" spans="13:14" x14ac:dyDescent="0.25">
      <c r="M1012" s="37">
        <v>45295</v>
      </c>
      <c r="N1012">
        <v>122687439000</v>
      </c>
    </row>
    <row r="1013" spans="13:14" x14ac:dyDescent="0.25">
      <c r="M1013" s="37">
        <v>45296</v>
      </c>
      <c r="N1013">
        <v>122111451000</v>
      </c>
    </row>
    <row r="1014" spans="13:14" x14ac:dyDescent="0.25">
      <c r="M1014" s="37">
        <v>45300</v>
      </c>
      <c r="N1014">
        <v>121096122000</v>
      </c>
    </row>
    <row r="1015" spans="13:14" x14ac:dyDescent="0.25">
      <c r="M1015" s="37">
        <v>45301</v>
      </c>
      <c r="N1015">
        <v>120432722000</v>
      </c>
    </row>
    <row r="1016" spans="13:14" x14ac:dyDescent="0.25">
      <c r="M1016" s="37">
        <v>45302</v>
      </c>
      <c r="N1016">
        <v>120331998000</v>
      </c>
    </row>
    <row r="1017" spans="13:14" x14ac:dyDescent="0.25">
      <c r="M1017" s="37">
        <v>45303</v>
      </c>
      <c r="N1017">
        <v>120796845000</v>
      </c>
    </row>
    <row r="1018" spans="13:14" x14ac:dyDescent="0.25">
      <c r="M1018" s="37">
        <v>45307</v>
      </c>
      <c r="N1018">
        <v>121048481000</v>
      </c>
    </row>
    <row r="1019" spans="13:14" x14ac:dyDescent="0.25">
      <c r="M1019" s="37">
        <v>45316</v>
      </c>
      <c r="N1019">
        <v>119977132000</v>
      </c>
    </row>
    <row r="1020" spans="13:14" x14ac:dyDescent="0.25">
      <c r="M1020" s="37">
        <v>45317</v>
      </c>
      <c r="N1020">
        <v>120151668000</v>
      </c>
    </row>
    <row r="1021" spans="13:14" x14ac:dyDescent="0.25">
      <c r="M1021" s="37">
        <v>45323</v>
      </c>
      <c r="N1021">
        <v>120308122000</v>
      </c>
    </row>
    <row r="1022" spans="13:14" x14ac:dyDescent="0.25">
      <c r="M1022" s="37">
        <v>45328</v>
      </c>
      <c r="N1022">
        <v>120440732000</v>
      </c>
    </row>
    <row r="1023" spans="13:14" x14ac:dyDescent="0.25">
      <c r="M1023" s="37">
        <v>45329</v>
      </c>
      <c r="N1023">
        <v>120754886000</v>
      </c>
    </row>
    <row r="1024" spans="13:14" x14ac:dyDescent="0.25">
      <c r="M1024" s="37">
        <v>45330</v>
      </c>
      <c r="N1024">
        <v>120898729000</v>
      </c>
    </row>
    <row r="1025" spans="13:14" x14ac:dyDescent="0.25">
      <c r="M1025" s="37">
        <v>45331</v>
      </c>
      <c r="N1025">
        <v>120725464000</v>
      </c>
    </row>
    <row r="1026" spans="13:14" x14ac:dyDescent="0.25">
      <c r="M1026" s="37">
        <v>45337</v>
      </c>
      <c r="N1026">
        <v>120669708000</v>
      </c>
    </row>
    <row r="1027" spans="13:14" x14ac:dyDescent="0.25">
      <c r="M1027" s="37">
        <v>45342</v>
      </c>
      <c r="N1027">
        <v>120948518000</v>
      </c>
    </row>
    <row r="1028" spans="13:14" x14ac:dyDescent="0.25">
      <c r="M1028" s="37">
        <v>45343</v>
      </c>
      <c r="N1028">
        <v>121084008000</v>
      </c>
    </row>
    <row r="1029" spans="13:14" x14ac:dyDescent="0.25">
      <c r="M1029" s="37">
        <v>45344</v>
      </c>
      <c r="N1029">
        <v>121256010000</v>
      </c>
    </row>
    <row r="1030" spans="13:14" x14ac:dyDescent="0.25">
      <c r="M1030" s="37">
        <v>45349</v>
      </c>
      <c r="N1030">
        <v>120326735000</v>
      </c>
    </row>
    <row r="1031" spans="13:14" x14ac:dyDescent="0.25">
      <c r="M1031" s="37">
        <v>45350</v>
      </c>
      <c r="N1031">
        <v>120446509000</v>
      </c>
    </row>
    <row r="1032" spans="13:14" x14ac:dyDescent="0.25">
      <c r="M1032" s="37">
        <v>45352</v>
      </c>
      <c r="N1032">
        <v>120555423000</v>
      </c>
    </row>
    <row r="1033" spans="13:14" x14ac:dyDescent="0.25">
      <c r="M1033" s="37">
        <v>45357</v>
      </c>
      <c r="N1033">
        <v>120263908000</v>
      </c>
    </row>
    <row r="1034" spans="13:14" x14ac:dyDescent="0.25">
      <c r="M1034" s="37">
        <v>45359</v>
      </c>
      <c r="N1034">
        <v>120802406000</v>
      </c>
    </row>
    <row r="1035" spans="13:14" x14ac:dyDescent="0.25">
      <c r="M1035" s="37">
        <v>45365</v>
      </c>
      <c r="N1035">
        <v>120901238000</v>
      </c>
    </row>
    <row r="1036" spans="13:14" x14ac:dyDescent="0.25">
      <c r="M1036" s="37">
        <v>45370</v>
      </c>
      <c r="N1036">
        <v>119187089000</v>
      </c>
    </row>
    <row r="1037" spans="13:14" x14ac:dyDescent="0.25">
      <c r="M1037" s="37">
        <v>45373</v>
      </c>
      <c r="N1037">
        <v>119257226000</v>
      </c>
    </row>
    <row r="1038" spans="13:14" x14ac:dyDescent="0.25">
      <c r="M1038" s="37">
        <v>45378</v>
      </c>
      <c r="N1038">
        <v>119206123000</v>
      </c>
    </row>
    <row r="1039" spans="13:14" x14ac:dyDescent="0.25">
      <c r="M1039" s="37">
        <v>45384</v>
      </c>
      <c r="N1039">
        <v>119148923000</v>
      </c>
    </row>
    <row r="1040" spans="13:14" x14ac:dyDescent="0.25">
      <c r="M1040" s="37">
        <v>45390</v>
      </c>
      <c r="N1040">
        <v>118575908000</v>
      </c>
    </row>
    <row r="1041" spans="13:14" x14ac:dyDescent="0.25">
      <c r="M1041" s="37">
        <v>45391</v>
      </c>
      <c r="N1041">
        <v>118433294000</v>
      </c>
    </row>
    <row r="1042" spans="13:14" x14ac:dyDescent="0.25">
      <c r="M1042" s="37">
        <v>45394</v>
      </c>
      <c r="N1042">
        <v>117697779000</v>
      </c>
    </row>
    <row r="1043" spans="13:14" x14ac:dyDescent="0.25">
      <c r="M1043" s="37">
        <v>45398</v>
      </c>
      <c r="N1043">
        <v>117278163000</v>
      </c>
    </row>
    <row r="1044" spans="13:14" x14ac:dyDescent="0.25">
      <c r="M1044" s="37">
        <v>45399</v>
      </c>
      <c r="N1044">
        <v>116285438000</v>
      </c>
    </row>
    <row r="1045" spans="13:14" x14ac:dyDescent="0.25">
      <c r="M1045" s="37">
        <v>45401</v>
      </c>
      <c r="N1045">
        <v>116812562000</v>
      </c>
    </row>
    <row r="1046" spans="13:14" x14ac:dyDescent="0.25">
      <c r="M1046" s="37">
        <v>45414</v>
      </c>
      <c r="N1046">
        <v>116952467000</v>
      </c>
    </row>
    <row r="1047" spans="13:14" x14ac:dyDescent="0.25">
      <c r="M1047" s="37">
        <v>45418</v>
      </c>
      <c r="N1047">
        <v>115862650000</v>
      </c>
    </row>
    <row r="1048" spans="13:14" x14ac:dyDescent="0.25">
      <c r="M1048" s="37">
        <v>45419</v>
      </c>
      <c r="N1048">
        <v>115743362000</v>
      </c>
    </row>
    <row r="1049" spans="13:14" x14ac:dyDescent="0.25">
      <c r="M1049" s="37">
        <v>45427</v>
      </c>
      <c r="N1049">
        <v>116215885000</v>
      </c>
    </row>
    <row r="1050" spans="13:14" x14ac:dyDescent="0.25">
      <c r="M1050" s="37">
        <v>45440</v>
      </c>
      <c r="N1050">
        <v>113430320000</v>
      </c>
    </row>
    <row r="1051" spans="13:14" x14ac:dyDescent="0.25">
      <c r="M1051" s="37">
        <v>45441</v>
      </c>
      <c r="N1051">
        <v>113681271000</v>
      </c>
    </row>
    <row r="1052" spans="13:14" x14ac:dyDescent="0.25">
      <c r="M1052" s="37">
        <v>45447</v>
      </c>
      <c r="N1052">
        <v>113751797000</v>
      </c>
    </row>
    <row r="1053" spans="13:14" x14ac:dyDescent="0.25">
      <c r="M1053" s="37">
        <v>45448</v>
      </c>
      <c r="N1053">
        <v>113415844000</v>
      </c>
    </row>
    <row r="1054" spans="13:14" x14ac:dyDescent="0.25">
      <c r="M1054" s="37">
        <v>45450</v>
      </c>
      <c r="N1054">
        <v>113332795000</v>
      </c>
    </row>
    <row r="1055" spans="13:14" x14ac:dyDescent="0.25">
      <c r="M1055" s="37">
        <v>45454</v>
      </c>
      <c r="N1055">
        <v>112056564000</v>
      </c>
    </row>
    <row r="1056" spans="13:14" x14ac:dyDescent="0.25">
      <c r="M1056" s="37">
        <v>45455</v>
      </c>
      <c r="N1056">
        <v>111646093000</v>
      </c>
    </row>
    <row r="1057" spans="13:14" x14ac:dyDescent="0.25">
      <c r="M1057" s="37">
        <v>45457</v>
      </c>
      <c r="N1057">
        <v>110924583000</v>
      </c>
    </row>
    <row r="1058" spans="13:14" x14ac:dyDescent="0.25">
      <c r="M1058" s="37">
        <v>45460</v>
      </c>
      <c r="N1058">
        <v>110299487000</v>
      </c>
    </row>
    <row r="1059" spans="13:14" x14ac:dyDescent="0.25">
      <c r="M1059" s="37">
        <v>45461</v>
      </c>
      <c r="N1059">
        <v>111421735000</v>
      </c>
    </row>
    <row r="1060" spans="13:14" x14ac:dyDescent="0.25">
      <c r="M1060" s="37">
        <v>45462</v>
      </c>
      <c r="N1060">
        <v>111426839000</v>
      </c>
    </row>
    <row r="1061" spans="13:14" x14ac:dyDescent="0.25">
      <c r="M1061" s="37">
        <v>45463</v>
      </c>
      <c r="N1061">
        <v>111472187000</v>
      </c>
    </row>
    <row r="1062" spans="13:14" x14ac:dyDescent="0.25">
      <c r="M1062" s="37">
        <v>45467</v>
      </c>
      <c r="N1062">
        <v>111570427000</v>
      </c>
    </row>
    <row r="1063" spans="13:14" x14ac:dyDescent="0.25">
      <c r="M1063" s="37">
        <v>45468</v>
      </c>
      <c r="N1063">
        <v>112368266000</v>
      </c>
    </row>
    <row r="1064" spans="13:14" x14ac:dyDescent="0.25">
      <c r="M1064" s="37">
        <v>45470</v>
      </c>
      <c r="N1064">
        <v>111567429000</v>
      </c>
    </row>
    <row r="1065" spans="13:14" x14ac:dyDescent="0.25">
      <c r="M1065" s="37">
        <v>45475</v>
      </c>
      <c r="N1065">
        <v>109586432000</v>
      </c>
    </row>
    <row r="1066" spans="13:14" x14ac:dyDescent="0.25">
      <c r="M1066" s="37">
        <v>45476</v>
      </c>
      <c r="N1066">
        <v>109690426000</v>
      </c>
    </row>
    <row r="1067" spans="13:14" x14ac:dyDescent="0.25">
      <c r="M1067" s="37">
        <v>45477</v>
      </c>
      <c r="N1067">
        <v>110765647000</v>
      </c>
    </row>
    <row r="1068" spans="13:14" x14ac:dyDescent="0.25">
      <c r="M1068" s="37">
        <v>45482</v>
      </c>
      <c r="N1068">
        <v>112750309000</v>
      </c>
    </row>
    <row r="1069" spans="13:14" x14ac:dyDescent="0.25">
      <c r="M1069" s="37">
        <v>45483</v>
      </c>
      <c r="N1069">
        <v>112746929000</v>
      </c>
    </row>
    <row r="1070" spans="13:14" x14ac:dyDescent="0.25">
      <c r="M1070" s="37">
        <v>45484</v>
      </c>
      <c r="N1070">
        <v>114096904000</v>
      </c>
    </row>
    <row r="1071" spans="13:14" x14ac:dyDescent="0.25">
      <c r="M1071" s="37">
        <v>45489</v>
      </c>
      <c r="N1071">
        <v>114672416000</v>
      </c>
    </row>
    <row r="1072" spans="13:14" x14ac:dyDescent="0.25">
      <c r="M1072" s="37">
        <v>45491</v>
      </c>
      <c r="N1072">
        <v>114941647000</v>
      </c>
    </row>
    <row r="1073" spans="13:14" x14ac:dyDescent="0.25">
      <c r="M1073" s="37">
        <v>45498</v>
      </c>
      <c r="N1073">
        <v>113166441000</v>
      </c>
    </row>
    <row r="1074" spans="13:14" x14ac:dyDescent="0.25">
      <c r="M1074" s="37">
        <v>45499</v>
      </c>
      <c r="N1074">
        <v>113056531000</v>
      </c>
    </row>
    <row r="1075" spans="13:14" x14ac:dyDescent="0.25">
      <c r="M1075" s="37">
        <v>45503</v>
      </c>
      <c r="N1075">
        <v>113566227000</v>
      </c>
    </row>
    <row r="1076" spans="13:14" x14ac:dyDescent="0.25">
      <c r="M1076" s="37">
        <v>45504</v>
      </c>
      <c r="N1076">
        <v>113956285000</v>
      </c>
    </row>
    <row r="1077" spans="13:14" x14ac:dyDescent="0.25">
      <c r="M1077" s="37">
        <v>45505</v>
      </c>
      <c r="N1077">
        <v>114650369000</v>
      </c>
    </row>
    <row r="1078" spans="13:14" x14ac:dyDescent="0.25">
      <c r="M1078" s="37">
        <v>45506</v>
      </c>
      <c r="N1078">
        <v>115147282000</v>
      </c>
    </row>
    <row r="1079" spans="13:14" x14ac:dyDescent="0.25">
      <c r="M1079" s="37">
        <v>45510</v>
      </c>
      <c r="N1079">
        <v>117352783000</v>
      </c>
    </row>
    <row r="1080" spans="13:14" x14ac:dyDescent="0.25">
      <c r="M1080" s="37">
        <v>45511</v>
      </c>
      <c r="N1080">
        <v>116459837000</v>
      </c>
    </row>
    <row r="1081" spans="13:14" x14ac:dyDescent="0.25">
      <c r="M1081" s="37">
        <v>45513</v>
      </c>
      <c r="N1081">
        <v>117470288000</v>
      </c>
    </row>
    <row r="1082" spans="13:14" x14ac:dyDescent="0.25">
      <c r="M1082" s="37">
        <v>45516</v>
      </c>
      <c r="N1082">
        <v>116559751000</v>
      </c>
    </row>
    <row r="1083" spans="13:14" x14ac:dyDescent="0.25">
      <c r="M1083" s="37">
        <v>45519</v>
      </c>
      <c r="N1083">
        <v>119588064000</v>
      </c>
    </row>
    <row r="1084" spans="13:14" x14ac:dyDescent="0.25">
      <c r="M1084" s="37">
        <v>45523</v>
      </c>
      <c r="N1084">
        <v>119568202000</v>
      </c>
    </row>
    <row r="1085" spans="13:14" x14ac:dyDescent="0.25">
      <c r="M1085" s="37">
        <v>45525</v>
      </c>
      <c r="N1085">
        <v>117540601000</v>
      </c>
    </row>
    <row r="1086" spans="13:14" x14ac:dyDescent="0.25">
      <c r="M1086" s="37">
        <v>45526</v>
      </c>
      <c r="N1086">
        <v>117522039000</v>
      </c>
    </row>
    <row r="1087" spans="13:14" x14ac:dyDescent="0.25">
      <c r="M1087" s="37">
        <v>45538</v>
      </c>
      <c r="N1087">
        <v>116292351000</v>
      </c>
    </row>
    <row r="1088" spans="13:14" x14ac:dyDescent="0.25">
      <c r="M1088" s="37">
        <v>45539</v>
      </c>
      <c r="N1088">
        <v>115141020000</v>
      </c>
    </row>
    <row r="1089" spans="13:14" x14ac:dyDescent="0.25">
      <c r="M1089" s="37">
        <v>45540</v>
      </c>
      <c r="N1089">
        <v>115438180000</v>
      </c>
    </row>
    <row r="1090" spans="13:14" x14ac:dyDescent="0.25">
      <c r="M1090" s="37">
        <v>45546</v>
      </c>
      <c r="N1090">
        <v>116271727000</v>
      </c>
    </row>
    <row r="1091" spans="13:14" x14ac:dyDescent="0.25">
      <c r="M1091" s="37">
        <v>45548</v>
      </c>
      <c r="N1091">
        <v>114979749000</v>
      </c>
    </row>
    <row r="1092" spans="13:14" x14ac:dyDescent="0.25">
      <c r="M1092" s="37">
        <v>45552</v>
      </c>
      <c r="N1092">
        <v>114931238000</v>
      </c>
    </row>
    <row r="1093" spans="13:14" x14ac:dyDescent="0.25">
      <c r="M1093" s="37">
        <v>45553</v>
      </c>
      <c r="N1093">
        <v>114962326000</v>
      </c>
    </row>
    <row r="1094" spans="13:14" x14ac:dyDescent="0.25">
      <c r="M1094" s="37">
        <v>45555</v>
      </c>
      <c r="N1094">
        <v>113960172000</v>
      </c>
    </row>
    <row r="1095" spans="13:14" x14ac:dyDescent="0.25">
      <c r="M1095" s="37">
        <v>45559</v>
      </c>
      <c r="N1095">
        <v>113341599000</v>
      </c>
    </row>
    <row r="1096" spans="13:14" x14ac:dyDescent="0.25">
      <c r="M1096" s="37">
        <v>45560</v>
      </c>
      <c r="N1096">
        <v>113805808000</v>
      </c>
    </row>
    <row r="1097" spans="13:14" x14ac:dyDescent="0.25">
      <c r="M1097" s="37">
        <v>45566</v>
      </c>
      <c r="N1097">
        <v>113501860000</v>
      </c>
    </row>
    <row r="1098" spans="13:14" x14ac:dyDescent="0.25">
      <c r="M1098" s="37">
        <v>45568</v>
      </c>
      <c r="N1098">
        <v>113591706000</v>
      </c>
    </row>
    <row r="1099" spans="13:14" x14ac:dyDescent="0.25">
      <c r="M1099" s="37">
        <v>45569</v>
      </c>
      <c r="N1099">
        <v>113414801000</v>
      </c>
    </row>
    <row r="1100" spans="13:14" x14ac:dyDescent="0.25">
      <c r="M1100" s="37">
        <v>45573</v>
      </c>
      <c r="N1100">
        <v>113525716000</v>
      </c>
    </row>
    <row r="1101" spans="13:14" x14ac:dyDescent="0.25">
      <c r="M1101" s="37">
        <v>45574</v>
      </c>
      <c r="N1101">
        <v>114026480000</v>
      </c>
    </row>
    <row r="1102" spans="13:14" x14ac:dyDescent="0.25">
      <c r="M1102" s="37">
        <v>45575</v>
      </c>
      <c r="N1102">
        <v>113261636000</v>
      </c>
    </row>
    <row r="1103" spans="13:14" x14ac:dyDescent="0.25">
      <c r="M1103" s="37">
        <v>45582</v>
      </c>
      <c r="N1103">
        <v>112299861000</v>
      </c>
    </row>
    <row r="1104" spans="13:14" x14ac:dyDescent="0.25">
      <c r="M1104" s="37">
        <v>45583</v>
      </c>
      <c r="N1104">
        <v>111519726000</v>
      </c>
    </row>
    <row r="1105" spans="13:14" x14ac:dyDescent="0.25">
      <c r="M1105" s="37">
        <v>45588</v>
      </c>
      <c r="N1105">
        <v>110705744000</v>
      </c>
    </row>
    <row r="1106" spans="13:14" x14ac:dyDescent="0.25">
      <c r="M1106" s="37">
        <v>45590</v>
      </c>
      <c r="N1106">
        <v>110316119000</v>
      </c>
    </row>
    <row r="1107" spans="13:14" x14ac:dyDescent="0.25">
      <c r="M1107" s="37">
        <v>45594</v>
      </c>
      <c r="N1107">
        <v>110586498000</v>
      </c>
    </row>
    <row r="1108" spans="13:14" x14ac:dyDescent="0.25">
      <c r="M1108" s="37">
        <v>45596</v>
      </c>
      <c r="N1108">
        <v>110627925000</v>
      </c>
    </row>
    <row r="1109" spans="13:14" x14ac:dyDescent="0.25">
      <c r="M1109" s="37">
        <v>45597</v>
      </c>
      <c r="N1109">
        <v>110796033000</v>
      </c>
    </row>
    <row r="1110" spans="13:14" x14ac:dyDescent="0.25">
      <c r="M1110" s="37">
        <v>45603</v>
      </c>
      <c r="N1110">
        <v>111741999000</v>
      </c>
    </row>
    <row r="1111" spans="13:14" x14ac:dyDescent="0.25">
      <c r="M1111" s="37">
        <v>45608</v>
      </c>
      <c r="N1111">
        <v>112737171000</v>
      </c>
    </row>
    <row r="1112" spans="13:14" x14ac:dyDescent="0.25">
      <c r="M1112" s="37">
        <v>45610</v>
      </c>
      <c r="N1112">
        <v>110948669000</v>
      </c>
    </row>
    <row r="1113" spans="13:14" x14ac:dyDescent="0.25">
      <c r="M1113" s="37">
        <v>45623</v>
      </c>
      <c r="N1113">
        <v>109216368000</v>
      </c>
    </row>
    <row r="1114" spans="13:14" x14ac:dyDescent="0.25">
      <c r="M1114" s="37">
        <v>45624</v>
      </c>
      <c r="N1114">
        <v>107712019000</v>
      </c>
    </row>
    <row r="1115" spans="13:14" x14ac:dyDescent="0.25">
      <c r="M1115" s="37">
        <v>45630</v>
      </c>
      <c r="N1115">
        <v>106236342000</v>
      </c>
    </row>
    <row r="1116" spans="13:14" x14ac:dyDescent="0.25">
      <c r="M1116" s="37">
        <v>45631</v>
      </c>
      <c r="N1116">
        <v>106672657000</v>
      </c>
    </row>
    <row r="1117" spans="13:14" x14ac:dyDescent="0.25">
      <c r="M1117" s="37">
        <v>45636</v>
      </c>
      <c r="N1117">
        <v>105286731000</v>
      </c>
    </row>
    <row r="1118" spans="13:14" x14ac:dyDescent="0.25">
      <c r="M1118" s="37">
        <v>45639</v>
      </c>
      <c r="N1118">
        <v>107634689000</v>
      </c>
    </row>
    <row r="1119" spans="13:14" x14ac:dyDescent="0.25">
      <c r="M1119" s="37">
        <v>45645</v>
      </c>
      <c r="N1119">
        <v>100312063000</v>
      </c>
    </row>
    <row r="1120" spans="13:14" x14ac:dyDescent="0.25">
      <c r="M1120" s="37">
        <v>45653</v>
      </c>
      <c r="N1120">
        <v>102265137000</v>
      </c>
    </row>
    <row r="1121" spans="13:14" x14ac:dyDescent="0.25">
      <c r="M1121" s="37">
        <v>45657</v>
      </c>
      <c r="N1121">
        <v>100185944000</v>
      </c>
    </row>
    <row r="1122" spans="13:14" x14ac:dyDescent="0.25">
      <c r="M1122" s="37">
        <v>45660</v>
      </c>
      <c r="N1122">
        <v>100764460000</v>
      </c>
    </row>
    <row r="1123" spans="13:14" x14ac:dyDescent="0.25">
      <c r="M1123" s="37">
        <v>45667</v>
      </c>
      <c r="N1123">
        <v>101925062000</v>
      </c>
    </row>
    <row r="1124" spans="13:14" x14ac:dyDescent="0.25">
      <c r="M1124" s="37">
        <v>45673</v>
      </c>
      <c r="N1124">
        <v>102039665000</v>
      </c>
    </row>
    <row r="1125" spans="13:14" x14ac:dyDescent="0.25">
      <c r="M1125" s="37">
        <v>45693</v>
      </c>
      <c r="N1125">
        <v>101349439000</v>
      </c>
    </row>
    <row r="1126" spans="13:14" x14ac:dyDescent="0.25">
      <c r="M1126" s="37">
        <v>45694</v>
      </c>
      <c r="N1126">
        <v>100690421000</v>
      </c>
    </row>
    <row r="1127" spans="13:14" x14ac:dyDescent="0.25">
      <c r="M1127" s="37">
        <v>45695</v>
      </c>
      <c r="N1127">
        <v>101144978000</v>
      </c>
    </row>
    <row r="1128" spans="13:14" x14ac:dyDescent="0.25">
      <c r="M1128" s="37">
        <v>45699</v>
      </c>
      <c r="N1128">
        <v>100807158000</v>
      </c>
    </row>
    <row r="1129" spans="13:14" x14ac:dyDescent="0.25">
      <c r="M1129" s="37">
        <v>45702</v>
      </c>
      <c r="N1129">
        <v>101579267000</v>
      </c>
    </row>
    <row r="1130" spans="13:14" x14ac:dyDescent="0.25">
      <c r="M1130" s="37">
        <v>45709</v>
      </c>
      <c r="N1130">
        <v>103757400000</v>
      </c>
    </row>
    <row r="1131" spans="13:14" x14ac:dyDescent="0.25">
      <c r="M1131" s="37">
        <v>45713</v>
      </c>
      <c r="N1131">
        <v>102587388000</v>
      </c>
    </row>
    <row r="1132" spans="13:14" x14ac:dyDescent="0.25">
      <c r="M1132" s="37">
        <v>45716</v>
      </c>
      <c r="N1132">
        <v>101926873000</v>
      </c>
    </row>
    <row r="1133" spans="13:14" x14ac:dyDescent="0.25">
      <c r="M1133" s="37">
        <v>45722</v>
      </c>
      <c r="N1133">
        <v>102649718000</v>
      </c>
    </row>
    <row r="1134" spans="13:14" x14ac:dyDescent="0.25">
      <c r="M1134" s="37">
        <v>45723</v>
      </c>
      <c r="N1134">
        <v>102618362000</v>
      </c>
    </row>
    <row r="1135" spans="13:14" x14ac:dyDescent="0.25">
      <c r="M1135" s="37">
        <v>45727</v>
      </c>
      <c r="N1135">
        <v>103230827000</v>
      </c>
    </row>
    <row r="1136" spans="13:14" x14ac:dyDescent="0.25">
      <c r="M1136" s="37">
        <v>45728</v>
      </c>
      <c r="N1136">
        <v>103564734000</v>
      </c>
    </row>
    <row r="1137" spans="13:14" x14ac:dyDescent="0.25">
      <c r="M1137" s="37">
        <v>45729</v>
      </c>
      <c r="N1137">
        <v>103182722000</v>
      </c>
    </row>
    <row r="1138" spans="13:14" x14ac:dyDescent="0.25">
      <c r="M1138" s="37">
        <v>45730</v>
      </c>
      <c r="N1138">
        <v>103671770000</v>
      </c>
    </row>
    <row r="1139" spans="13:14" x14ac:dyDescent="0.25">
      <c r="M1139" s="37">
        <v>45734</v>
      </c>
      <c r="N1139">
        <v>103483066000</v>
      </c>
    </row>
    <row r="1140" spans="13:14" x14ac:dyDescent="0.25">
      <c r="M1140" s="37">
        <v>45735</v>
      </c>
      <c r="N1140">
        <v>104000868000</v>
      </c>
    </row>
    <row r="1141" spans="13:14" x14ac:dyDescent="0.25">
      <c r="M1141" s="37">
        <v>45736</v>
      </c>
      <c r="N1141">
        <v>104726507000</v>
      </c>
    </row>
    <row r="1142" spans="13:14" x14ac:dyDescent="0.25">
      <c r="M1142" s="37">
        <v>45737</v>
      </c>
      <c r="N1142">
        <v>104245961000</v>
      </c>
    </row>
    <row r="1143" spans="13:14" x14ac:dyDescent="0.25">
      <c r="M1143" s="37">
        <v>45741</v>
      </c>
      <c r="N1143">
        <v>104105813000</v>
      </c>
    </row>
    <row r="1144" spans="13:14" x14ac:dyDescent="0.25">
      <c r="M1144" s="37">
        <v>45742</v>
      </c>
      <c r="N1144">
        <v>104327586000</v>
      </c>
    </row>
    <row r="1145" spans="13:14" x14ac:dyDescent="0.25">
      <c r="M1145" s="37">
        <v>45743</v>
      </c>
      <c r="N1145">
        <v>104232566000</v>
      </c>
    </row>
    <row r="1146" spans="13:14" x14ac:dyDescent="0.25">
      <c r="M1146" s="37">
        <v>45744</v>
      </c>
      <c r="N1146">
        <v>104229749000</v>
      </c>
    </row>
    <row r="1147" spans="13:14" x14ac:dyDescent="0.25">
      <c r="M1147" s="37">
        <v>45748</v>
      </c>
      <c r="N1147">
        <v>104893794000</v>
      </c>
    </row>
    <row r="1148" spans="13:14" x14ac:dyDescent="0.25">
      <c r="M1148" s="37">
        <v>45749</v>
      </c>
      <c r="N1148">
        <v>104521600000</v>
      </c>
    </row>
    <row r="1149" spans="13:14" x14ac:dyDescent="0.25">
      <c r="M1149" s="37">
        <v>45750</v>
      </c>
      <c r="N1149">
        <v>104506645000</v>
      </c>
    </row>
    <row r="1150" spans="13:14" x14ac:dyDescent="0.25">
      <c r="M1150" s="37">
        <v>45751</v>
      </c>
      <c r="N1150">
        <v>106107012000</v>
      </c>
    </row>
    <row r="1151" spans="13:14" x14ac:dyDescent="0.25">
      <c r="M1151" s="37">
        <v>45755</v>
      </c>
      <c r="N1151">
        <v>105741511000</v>
      </c>
    </row>
    <row r="1152" spans="13:14" x14ac:dyDescent="0.25">
      <c r="M1152" s="37">
        <v>45756</v>
      </c>
      <c r="N1152">
        <v>105173547000</v>
      </c>
    </row>
    <row r="1153" spans="13:14" x14ac:dyDescent="0.25">
      <c r="M1153" s="37">
        <v>45757</v>
      </c>
      <c r="N1153">
        <v>105206157000</v>
      </c>
    </row>
    <row r="1154" spans="13:14" x14ac:dyDescent="0.25">
      <c r="M1154" s="37">
        <v>45758</v>
      </c>
      <c r="N1154">
        <v>104771252000</v>
      </c>
    </row>
    <row r="1155" spans="13:14" x14ac:dyDescent="0.25">
      <c r="M1155" s="37">
        <v>45762</v>
      </c>
      <c r="N1155">
        <v>106454114000</v>
      </c>
    </row>
    <row r="1156" spans="13:14" x14ac:dyDescent="0.25">
      <c r="M1156" s="37">
        <v>45763</v>
      </c>
      <c r="N1156">
        <v>105798140000</v>
      </c>
    </row>
    <row r="1157" spans="13:14" x14ac:dyDescent="0.25">
      <c r="M1157" s="37">
        <v>45764</v>
      </c>
      <c r="N1157">
        <v>105385341000</v>
      </c>
    </row>
    <row r="1158" spans="13:14" x14ac:dyDescent="0.25">
      <c r="M1158" s="37">
        <v>45770</v>
      </c>
      <c r="N1158">
        <v>104275210000</v>
      </c>
    </row>
    <row r="1159" spans="13:14" x14ac:dyDescent="0.25">
      <c r="M1159" s="37">
        <v>45771</v>
      </c>
      <c r="N1159">
        <v>105022243000</v>
      </c>
    </row>
    <row r="1160" spans="13:14" x14ac:dyDescent="0.25">
      <c r="M1160" s="37">
        <v>45772</v>
      </c>
      <c r="N1160">
        <v>107973091000</v>
      </c>
    </row>
    <row r="1161" spans="13:14" x14ac:dyDescent="0.25">
      <c r="M1161" s="37">
        <v>45776</v>
      </c>
      <c r="N1161">
        <v>108954208000</v>
      </c>
    </row>
    <row r="1162" spans="13:14" x14ac:dyDescent="0.25">
      <c r="M1162" s="37">
        <v>45777</v>
      </c>
      <c r="N1162">
        <v>109166565000</v>
      </c>
    </row>
    <row r="1163" spans="13:14" x14ac:dyDescent="0.25">
      <c r="M1163" s="37">
        <v>45783</v>
      </c>
      <c r="N1163">
        <v>109161519000</v>
      </c>
    </row>
    <row r="1164" spans="13:14" x14ac:dyDescent="0.25">
      <c r="M1164" s="37">
        <v>45784</v>
      </c>
      <c r="N1164">
        <v>110320699000</v>
      </c>
    </row>
    <row r="1165" spans="13:14" x14ac:dyDescent="0.25">
      <c r="M1165" s="37">
        <v>45785</v>
      </c>
      <c r="N1165">
        <v>111125983000</v>
      </c>
    </row>
    <row r="1166" spans="13:14" x14ac:dyDescent="0.25">
      <c r="M1166" s="37">
        <v>45786</v>
      </c>
      <c r="N1166">
        <v>112146404000</v>
      </c>
    </row>
    <row r="1167" spans="13:14" x14ac:dyDescent="0.25">
      <c r="M1167" s="37">
        <v>45790</v>
      </c>
      <c r="N1167">
        <v>112718043000</v>
      </c>
    </row>
    <row r="1168" spans="13:14" x14ac:dyDescent="0.25">
      <c r="M1168" s="37">
        <v>45791</v>
      </c>
      <c r="N1168">
        <v>112865844000</v>
      </c>
    </row>
    <row r="1169" spans="13:14" x14ac:dyDescent="0.25">
      <c r="M1169" s="37">
        <v>45792</v>
      </c>
      <c r="N1169">
        <v>112113141000</v>
      </c>
    </row>
    <row r="1170" spans="13:14" x14ac:dyDescent="0.25">
      <c r="M1170" s="37">
        <v>45793</v>
      </c>
      <c r="N1170">
        <v>108751407000</v>
      </c>
    </row>
    <row r="1171" spans="13:14" x14ac:dyDescent="0.25">
      <c r="M1171" s="37">
        <v>45797</v>
      </c>
      <c r="N1171">
        <v>109642849000</v>
      </c>
    </row>
    <row r="1172" spans="13:14" x14ac:dyDescent="0.25">
      <c r="M1172" s="37">
        <v>45798</v>
      </c>
      <c r="N1172">
        <v>109231103000</v>
      </c>
    </row>
    <row r="1173" spans="13:14" x14ac:dyDescent="0.25">
      <c r="M1173" s="37">
        <v>45799</v>
      </c>
      <c r="N1173">
        <v>108991187000</v>
      </c>
    </row>
    <row r="1174" spans="13:14" x14ac:dyDescent="0.25">
      <c r="M1174" s="37">
        <v>45800</v>
      </c>
      <c r="N1174">
        <v>109613614000</v>
      </c>
    </row>
    <row r="1175" spans="13:14" x14ac:dyDescent="0.25">
      <c r="M1175" s="37">
        <v>45804</v>
      </c>
      <c r="N1175">
        <v>109893631000</v>
      </c>
    </row>
    <row r="1176" spans="13:14" x14ac:dyDescent="0.25">
      <c r="M1176" s="37">
        <v>45805</v>
      </c>
      <c r="N1176">
        <v>110438488000</v>
      </c>
    </row>
    <row r="1177" spans="13:14" x14ac:dyDescent="0.25">
      <c r="M1177" s="37">
        <v>45806</v>
      </c>
      <c r="N1177">
        <v>109966243000</v>
      </c>
    </row>
    <row r="1178" spans="13:14" x14ac:dyDescent="0.25">
      <c r="M1178" s="37">
        <v>45807</v>
      </c>
      <c r="N1178">
        <v>109972687000</v>
      </c>
    </row>
    <row r="1179" spans="13:14" x14ac:dyDescent="0.25">
      <c r="M1179" s="37">
        <v>45811</v>
      </c>
      <c r="N1179">
        <v>109077846000</v>
      </c>
    </row>
    <row r="1180" spans="13:14" x14ac:dyDescent="0.25">
      <c r="M1180" s="37">
        <v>45812</v>
      </c>
      <c r="N1180">
        <v>109082791000</v>
      </c>
    </row>
    <row r="1181" spans="13:14" x14ac:dyDescent="0.25">
      <c r="M1181" s="37">
        <v>45813</v>
      </c>
      <c r="N1181">
        <v>109422442000</v>
      </c>
    </row>
    <row r="1182" spans="13:14" x14ac:dyDescent="0.25">
      <c r="M1182" s="37">
        <v>45814</v>
      </c>
      <c r="N1182">
        <v>109279650000</v>
      </c>
    </row>
    <row r="1183" spans="13:14" x14ac:dyDescent="0.25">
      <c r="M1183" s="37">
        <v>45818</v>
      </c>
      <c r="N1183">
        <v>108844112000</v>
      </c>
    </row>
    <row r="1184" spans="13:14" x14ac:dyDescent="0.25">
      <c r="M1184" s="37">
        <v>45819</v>
      </c>
      <c r="N1184">
        <v>108278170000</v>
      </c>
    </row>
    <row r="1185" spans="13:14" x14ac:dyDescent="0.25">
      <c r="M1185" s="37">
        <v>45820</v>
      </c>
      <c r="N1185">
        <v>108698467000</v>
      </c>
    </row>
    <row r="1186" spans="13:14" x14ac:dyDescent="0.25">
      <c r="M1186" s="37">
        <v>45821</v>
      </c>
      <c r="N1186">
        <v>108750156000</v>
      </c>
    </row>
    <row r="1187" spans="13:14" x14ac:dyDescent="0.25">
      <c r="M1187" s="37">
        <v>45825</v>
      </c>
      <c r="N1187">
        <v>109604135000</v>
      </c>
    </row>
    <row r="1188" spans="13:14" x14ac:dyDescent="0.25">
      <c r="M1188" s="37">
        <v>45826</v>
      </c>
      <c r="N1188">
        <v>109955558000</v>
      </c>
    </row>
  </sheetData>
  <mergeCells count="8">
    <mergeCell ref="F60:G60"/>
    <mergeCell ref="M50:N50"/>
    <mergeCell ref="B133:I133"/>
    <mergeCell ref="B8:I8"/>
    <mergeCell ref="B24:L24"/>
    <mergeCell ref="B50:D50"/>
    <mergeCell ref="F50:G50"/>
    <mergeCell ref="I50:K50"/>
  </mergeCells>
  <conditionalFormatting sqref="F62:G111 I53:K131 C134:I134">
    <cfRule type="containsBlanks" dxfId="128" priority="24" stopIfTrue="1">
      <formula>LEN(TRIM(C53))=0</formula>
    </cfRule>
  </conditionalFormatting>
  <conditionalFormatting sqref="H16:I16">
    <cfRule type="expression" dxfId="127" priority="16" stopIfTrue="1">
      <formula>$I$11="AT MATURITY"</formula>
    </cfRule>
  </conditionalFormatting>
  <dataValidations count="1">
    <dataValidation type="list" allowBlank="1" sqref="B6" xr:uid="{00000000-0002-0000-0100-000000000000}">
      <formula1>drop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26" r:id="rId4" name="cmdTRADE">
          <controlPr defaultSize="0" autoLine="0" r:id="rId5">
            <anchor moveWithCells="1">
              <from>
                <xdr:col>6</xdr:col>
                <xdr:colOff>9525</xdr:colOff>
                <xdr:row>5</xdr:row>
                <xdr:rowOff>0</xdr:rowOff>
              </from>
              <to>
                <xdr:col>6</xdr:col>
                <xdr:colOff>1200150</xdr:colOff>
                <xdr:row>6</xdr:row>
                <xdr:rowOff>133350</xdr:rowOff>
              </to>
            </anchor>
          </controlPr>
        </control>
      </mc:Choice>
      <mc:Fallback>
        <control shapeId="133126" r:id="rId4" name="cmdTRADE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B1:AO33"/>
  <sheetViews>
    <sheetView showGridLines="0" showRowColHeaders="0" zoomScaleNormal="100" workbookViewId="0">
      <pane ySplit="5" topLeftCell="A6" activePane="bottomLeft" state="frozen"/>
      <selection pane="bottomLeft" activeCell="K42" sqref="K42"/>
    </sheetView>
  </sheetViews>
  <sheetFormatPr defaultRowHeight="15" x14ac:dyDescent="0.25"/>
  <cols>
    <col min="1" max="1" width="1.7109375" customWidth="1"/>
    <col min="2" max="2" width="14.7109375" customWidth="1"/>
    <col min="3" max="3" width="20.5703125" customWidth="1"/>
    <col min="4" max="4" width="8.28515625" customWidth="1"/>
    <col min="5" max="5" width="12.85546875" customWidth="1"/>
    <col min="6" max="6" width="13.42578125" customWidth="1"/>
    <col min="7" max="7" width="14.140625" customWidth="1"/>
    <col min="8" max="8" width="11.140625" customWidth="1"/>
    <col min="9" max="9" width="13.85546875" customWidth="1"/>
    <col min="10" max="10" width="10.7109375" customWidth="1"/>
    <col min="11" max="12" width="15.42578125" customWidth="1"/>
    <col min="13" max="13" width="13.85546875" customWidth="1"/>
    <col min="14" max="14" width="13.85546875" hidden="1" customWidth="1"/>
    <col min="15" max="15" width="13.85546875" customWidth="1"/>
    <col min="16" max="17" width="13" hidden="1" customWidth="1"/>
    <col min="18" max="19" width="14.28515625" style="32" customWidth="1"/>
    <col min="20" max="20" width="17.28515625" style="32" customWidth="1"/>
    <col min="21" max="21" width="16.140625" style="32" customWidth="1"/>
    <col min="22" max="22" width="16" style="32" hidden="1" customWidth="1"/>
    <col min="23" max="23" width="16" style="32" customWidth="1"/>
    <col min="24" max="24" width="12.28515625" style="32" customWidth="1"/>
    <col min="25" max="25" width="18.140625" style="32" customWidth="1"/>
    <col min="26" max="28" width="11.140625" style="32" customWidth="1"/>
    <col min="29" max="29" width="10.42578125" style="32" customWidth="1"/>
    <col min="30" max="30" width="9.42578125" style="32" hidden="1" customWidth="1"/>
    <col min="31" max="31" width="9.7109375" style="32" hidden="1" customWidth="1"/>
    <col min="32" max="32" width="3.5703125" style="32" hidden="1" customWidth="1"/>
    <col min="33" max="33" width="9.42578125" hidden="1" customWidth="1"/>
    <col min="34" max="34" width="9.140625" hidden="1" customWidth="1"/>
    <col min="35" max="35" width="4.140625" hidden="1" customWidth="1"/>
    <col min="37" max="37" width="11.42578125" style="32" customWidth="1"/>
    <col min="38" max="38" width="16.28515625" customWidth="1"/>
    <col min="39" max="39" width="15.42578125" customWidth="1"/>
  </cols>
  <sheetData>
    <row r="1" spans="2:41" ht="5.0999999999999996" customHeight="1" x14ac:dyDescent="0.25"/>
    <row r="2" spans="2:41" ht="15" customHeight="1" x14ac:dyDescent="0.25"/>
    <row r="3" spans="2:41" ht="15" customHeight="1" x14ac:dyDescent="0.25"/>
    <row r="4" spans="2:41" ht="15" customHeight="1" x14ac:dyDescent="0.25"/>
    <row r="5" spans="2:41" ht="5.0999999999999996" customHeight="1" x14ac:dyDescent="0.25"/>
    <row r="6" spans="2:41" x14ac:dyDescent="0.25">
      <c r="B6" s="171" t="str" cm="1">
        <f t="array" ref="B6">_xll.BDP(B11, "short Name")</f>
        <v>BRAZIL NTN-B</v>
      </c>
      <c r="D6" s="171"/>
      <c r="E6" s="171" t="str" cm="1">
        <f t="array" ref="E6">_xll.BDP(B11, "des_notes")</f>
        <v>RDMPTN &amp; CPN LINKED TO IPCA. ISS'D IN UNITARY PRICES (PU). PORT 112             BASE DATE FOR ACCUM IPCA: 07/15/2000.</v>
      </c>
      <c r="F6" s="171"/>
      <c r="G6" s="171"/>
      <c r="H6" s="171"/>
      <c r="I6" s="171"/>
      <c r="J6" s="171"/>
      <c r="K6" s="171"/>
      <c r="L6" s="171"/>
    </row>
    <row r="7" spans="2:41" ht="5.0999999999999996" customHeight="1" x14ac:dyDescent="0.25">
      <c r="B7" s="141"/>
      <c r="D7" s="141"/>
      <c r="E7" s="141"/>
      <c r="F7" s="141"/>
      <c r="G7" s="141"/>
      <c r="H7" s="141"/>
      <c r="I7" s="141"/>
      <c r="J7" s="141"/>
      <c r="K7" s="141"/>
      <c r="L7" s="141"/>
    </row>
    <row r="8" spans="2:41" s="176" customFormat="1" x14ac:dyDescent="0.25">
      <c r="B8" s="107" t="s">
        <v>150</v>
      </c>
      <c r="C8" s="270" t="s">
        <v>149</v>
      </c>
      <c r="D8" s="325" t="s">
        <v>11</v>
      </c>
      <c r="E8" s="325"/>
      <c r="F8" s="325"/>
      <c r="G8" s="326"/>
      <c r="H8" s="325" t="s">
        <v>4</v>
      </c>
      <c r="I8" s="325"/>
      <c r="J8" s="326"/>
      <c r="K8" s="325" t="s">
        <v>26</v>
      </c>
      <c r="L8" s="325"/>
      <c r="M8" s="325"/>
      <c r="N8" s="325"/>
      <c r="O8" s="325"/>
      <c r="P8" s="325"/>
      <c r="Q8" s="325"/>
      <c r="R8" s="325"/>
      <c r="S8" s="325"/>
      <c r="T8" s="325"/>
      <c r="U8" s="325"/>
      <c r="V8" s="325"/>
      <c r="W8" s="325"/>
      <c r="X8" s="325"/>
      <c r="Y8" s="326"/>
      <c r="Z8" s="325" t="s">
        <v>18</v>
      </c>
      <c r="AA8" s="325"/>
      <c r="AB8" s="325"/>
      <c r="AC8" s="325"/>
      <c r="AD8" s="172"/>
      <c r="AE8" s="173"/>
      <c r="AF8" s="173"/>
      <c r="AG8" s="174"/>
      <c r="AH8" s="174"/>
      <c r="AI8" s="175"/>
      <c r="AJ8" s="325" t="s">
        <v>38</v>
      </c>
      <c r="AK8" s="325"/>
      <c r="AL8" s="325"/>
      <c r="AM8" s="325"/>
      <c r="AN8" s="323" t="s">
        <v>358</v>
      </c>
      <c r="AO8" s="324"/>
    </row>
    <row r="9" spans="2:41" s="176" customFormat="1" x14ac:dyDescent="0.25">
      <c r="B9" s="82" t="s">
        <v>30</v>
      </c>
      <c r="C9" s="30" t="s">
        <v>10</v>
      </c>
      <c r="D9" s="30" t="s">
        <v>11</v>
      </c>
      <c r="E9" s="30" t="s">
        <v>20</v>
      </c>
      <c r="F9" s="30" t="s">
        <v>21</v>
      </c>
      <c r="G9" s="30" t="s">
        <v>23</v>
      </c>
      <c r="H9" s="30" t="s">
        <v>4</v>
      </c>
      <c r="I9" s="30" t="s">
        <v>12</v>
      </c>
      <c r="J9" s="30" t="s">
        <v>25</v>
      </c>
      <c r="K9" s="30" t="s">
        <v>9</v>
      </c>
      <c r="L9" s="30" t="s">
        <v>9</v>
      </c>
      <c r="M9" s="30" t="s">
        <v>7</v>
      </c>
      <c r="N9" s="30" t="s">
        <v>196</v>
      </c>
      <c r="O9" s="30" t="s">
        <v>7</v>
      </c>
      <c r="P9" s="30" t="s">
        <v>204</v>
      </c>
      <c r="Q9" s="30"/>
      <c r="R9" s="30" t="s">
        <v>13</v>
      </c>
      <c r="S9" s="30" t="s">
        <v>83</v>
      </c>
      <c r="T9" s="30" t="s">
        <v>5</v>
      </c>
      <c r="U9" s="30" t="str">
        <f>$C$8&amp;" PRICE"</f>
        <v>ASK PRICE</v>
      </c>
      <c r="V9" s="30" t="str">
        <f>$C$8&amp;" PRICE"</f>
        <v>ASK PRICE</v>
      </c>
      <c r="W9" s="30" t="str">
        <f>$C$8&amp;" PRICE"</f>
        <v>ASK PRICE</v>
      </c>
      <c r="X9" s="30" t="s">
        <v>37</v>
      </c>
      <c r="Y9" s="30" t="s">
        <v>29</v>
      </c>
      <c r="Z9" s="30" t="s">
        <v>17</v>
      </c>
      <c r="AA9" s="30" t="s">
        <v>14</v>
      </c>
      <c r="AB9" s="30" t="s">
        <v>15</v>
      </c>
      <c r="AC9" s="30" t="s">
        <v>27</v>
      </c>
      <c r="AD9" s="30"/>
      <c r="AE9" s="30"/>
      <c r="AF9" s="30"/>
      <c r="AG9" s="30"/>
      <c r="AH9" s="30"/>
      <c r="AI9" s="30"/>
      <c r="AJ9" s="30" t="s">
        <v>34</v>
      </c>
      <c r="AK9" s="30" t="s">
        <v>35</v>
      </c>
      <c r="AL9" s="30" t="s">
        <v>36</v>
      </c>
      <c r="AM9" s="30" t="s">
        <v>33</v>
      </c>
      <c r="AN9" s="143" t="s">
        <v>359</v>
      </c>
      <c r="AO9" s="177" t="s">
        <v>360</v>
      </c>
    </row>
    <row r="10" spans="2:41" s="144" customFormat="1" hidden="1" x14ac:dyDescent="0.25">
      <c r="B10" s="178">
        <f>COUNTA(B11:B28)</f>
        <v>13</v>
      </c>
      <c r="C10" s="179"/>
      <c r="D10" s="149" t="s">
        <v>2</v>
      </c>
      <c r="E10" s="149" t="s">
        <v>19</v>
      </c>
      <c r="F10" s="149" t="s">
        <v>22</v>
      </c>
      <c r="G10" s="149" t="s">
        <v>0</v>
      </c>
      <c r="H10" s="149" t="s">
        <v>4</v>
      </c>
      <c r="I10" s="149" t="s">
        <v>3</v>
      </c>
      <c r="J10" s="149" t="s">
        <v>24</v>
      </c>
      <c r="K10" s="149" t="s">
        <v>8</v>
      </c>
      <c r="L10" s="146" t="s">
        <v>9</v>
      </c>
      <c r="M10" s="146" t="s">
        <v>1</v>
      </c>
      <c r="N10" s="147"/>
      <c r="O10" s="146"/>
      <c r="P10" s="148" t="s">
        <v>56</v>
      </c>
      <c r="Q10" s="148"/>
      <c r="R10" s="146" t="s">
        <v>6</v>
      </c>
      <c r="S10" s="146" t="str">
        <f>"YLD_YTM_"&amp;$C$8</f>
        <v>YLD_YTM_ASK</v>
      </c>
      <c r="T10" s="146" t="s">
        <v>5</v>
      </c>
      <c r="U10" s="146" t="str">
        <f>"PX "&amp;$C$8</f>
        <v>PX ASK</v>
      </c>
      <c r="V10" s="149" t="str">
        <f>"PX "&amp;$C$8</f>
        <v>PX ASK</v>
      </c>
      <c r="W10" s="146" t="str">
        <f>"PX "&amp;$C$8</f>
        <v>PX ASK</v>
      </c>
      <c r="X10" s="146"/>
      <c r="Y10" s="146"/>
      <c r="Z10" s="146" t="str">
        <f>"DUR_"&amp;$C$8</f>
        <v>DUR_ASK</v>
      </c>
      <c r="AA10" s="146" t="str">
        <f>"DUR_ADJ_"&amp;$C$8</f>
        <v>DUR_ADJ_ASK</v>
      </c>
      <c r="AB10" s="146" t="str">
        <f>"CNVX_"&amp;$C$8</f>
        <v>CNVX_ASK</v>
      </c>
      <c r="AC10" s="146" t="str">
        <f>"RISK_"&amp;$C$8</f>
        <v>RISK_ASK</v>
      </c>
      <c r="AD10" s="146"/>
      <c r="AE10" s="146"/>
      <c r="AF10" s="146"/>
      <c r="AG10" s="146"/>
      <c r="AH10" s="146"/>
      <c r="AI10" s="146"/>
      <c r="AJ10" s="146" t="s">
        <v>32</v>
      </c>
      <c r="AK10" s="146" t="s">
        <v>31</v>
      </c>
      <c r="AL10" s="146" t="s">
        <v>28</v>
      </c>
      <c r="AM10" s="180"/>
      <c r="AN10" s="146" t="s">
        <v>361</v>
      </c>
      <c r="AO10" s="181" t="s">
        <v>225</v>
      </c>
    </row>
    <row r="11" spans="2:41" x14ac:dyDescent="0.25">
      <c r="B11" s="182" t="str">
        <f>_xll.BCHAIN("EK6971114 Corp","bonds","","SortBy","maturity","SortOrder","asc","cols=1;rows=13")</f>
        <v>JV523082 Corp</v>
      </c>
      <c r="C11" s="150"/>
      <c r="D11" s="151" cm="1">
        <f t="array" ref="D11">_xll.BDP($B11,D$10)/100</f>
        <v>0.06</v>
      </c>
      <c r="E11" s="152" t="str" cm="1">
        <f t="array" ref="E11">_xll.BDP($B11,E$10)</f>
        <v>FIXED</v>
      </c>
      <c r="F11" s="153" cm="1">
        <f t="array" ref="F11">IF(E11="ZERO COUPON","",_xll.BDP($B11,F$10))</f>
        <v>2</v>
      </c>
      <c r="G11" s="154">
        <f>IF(OR(F11=0,E11="ZERO COUPON"),"",_xll.BDP($B11,G$10,$M$10,P11)*1)</f>
        <v>45705</v>
      </c>
      <c r="H11" s="154" cm="1">
        <f t="array" ref="H11">_xll.BDP($B11,H$10)*1</f>
        <v>46249</v>
      </c>
      <c r="I11" s="150" t="str" cm="1">
        <f t="array" ref="I11">_xll.BDP($B11,I$10)</f>
        <v>AT MATURITY</v>
      </c>
      <c r="J11" s="150" cm="1">
        <f t="array" ref="J11">_xll.BDP($B11,J$10)</f>
        <v>1000</v>
      </c>
      <c r="K11" s="150" t="str" cm="1">
        <f t="array" ref="K11">IF(B11="","",_xll.BDP($B11,K$10))</f>
        <v>ANDI</v>
      </c>
      <c r="L11" s="170"/>
      <c r="M11" s="183" cm="1">
        <f t="array" ref="M11">_xll.BDP($B11,M$10)*1</f>
        <v>45831</v>
      </c>
      <c r="N11" s="157">
        <f>IF(O11="",_xll.BADDPERIODS(M11,"CDR=BZ","Per=wd","NumberOfPeriods=-2"),_xll.BADDPERIODS(O11,"CDR=BZ","Per=wd","NumberOfPeriods=-2"))</f>
        <v>45826</v>
      </c>
      <c r="O11" s="170"/>
      <c r="P11" s="158" t="str">
        <f t="shared" ref="P11:P28" si="0">IF(OR(K11="ANDE",L11="ANDE"), TEXT(YEAR(N11)*10000+MONTH(N11)*100+DAY(N11),"00000000"),IF(O11="",TEXT(YEAR(M11)*10000+MONTH(M11)*100+DAY(M11),"00000000"),TEXT(YEAR(O11)*10000+MONTH(O11)*100+DAY(O11),"00000000")))</f>
        <v>20250623</v>
      </c>
      <c r="Q11" s="159" t="str">
        <f>TEXT(YEAR(_xll.BADDPERIODS(N11,"CDR=BZ","Per=wd","NumberOfPeriods=2"))*10000+MONTH(_xll.BADDPERIODS(N11,"CDR=BZ","Per=wd","NumberOfPeriods=2"))*100+DAY(_xll.BADDPERIODS(N11,"CDR=BZ","Per=wd","NumberOfPeriods=2")),"00000000")</f>
        <v>20250623</v>
      </c>
      <c r="R11" s="184" cm="1">
        <f t="array" ref="R11">_xll.BDP($B11,$R$10,$M$10,P11)</f>
        <v>91.270560534757252</v>
      </c>
      <c r="S11" s="185" cm="1">
        <f t="array" ref="S11">IF(OR(UPPER(K11)="ANDE",UPPER(L11)="ANDE"),_xll.BDP($B11,$S$10,$K$10,L11,$W$10,W11,$P$10,Q11),_xll.BDP($B11,$S$10,$K$10,L11,$W$10,W11,$P$10,P11))</f>
        <v>9.8149999999999995</v>
      </c>
      <c r="T11" s="170"/>
      <c r="U11" s="186" cm="1">
        <f t="array" ref="U11">IF(W11="",IF(T11="",_xll.BDP($B11,U$10,$S$10,$S11,$K$10,$L11,$M$10,$P11),_xll.BDP($B11,U$10,$S$10,$T11,$M$10,$Q11,$K$10,$L11)),"-")</f>
        <v>4434.7297619999999</v>
      </c>
      <c r="V11" s="163">
        <f>IF(T11="",U11,T11)</f>
        <v>4434.7297619999999</v>
      </c>
      <c r="W11" s="170"/>
      <c r="X11" s="187">
        <f t="shared" ref="X11:X28" si="1">V11/Y11*100</f>
        <v>98.097799947312438</v>
      </c>
      <c r="Y11" s="188">
        <f t="shared" ref="Y11:Y28" si="2">J11*AK11/AJ11*(1+AL11/100)^(AF11/AI11)</f>
        <v>4520.7229564596337</v>
      </c>
      <c r="Z11" s="189" cm="1">
        <f t="array" ref="Z11">IF(W11&lt;&gt;"",_xll.BDP($B11,Z$10,$M$10,$P11,$K$10,$L11,$W$10,$W11),_xll.BDP($B11,Z$10,$S$10,$T11,$M$10,$P11,$K$10,$L11,$W$10,$W11))</f>
        <v>1.1138484068313481</v>
      </c>
      <c r="AA11" s="189" cm="1">
        <f t="array" ref="AA11">IF(W11&lt;&gt;"",_xll.BDP($B11,AA$10,$M$10,$P11,$K$10,$L11,$W$10,$W11),_xll.BDP($B11,AA$10,$S$10,$T11,$M$10,$P11,$K$10,$L11,$W$10,$W11))</f>
        <v>1.0142949325006567</v>
      </c>
      <c r="AB11" s="189" cm="1">
        <f t="array" ref="AB11">IF(W11&lt;&gt;"",_xll.BDP($B11,AB$10,$M$10,$P11,$K$10,$L11,$W$10,$W11),_xll.BDP($B11,AB$10,$S$10,$T11,$M$10,$P11,$K$10,$L11,$W$10,$W11))</f>
        <v>1.9738813507262868E-2</v>
      </c>
      <c r="AC11" s="189" cm="1">
        <f t="array" ref="AC11">IF(W11&lt;&gt;"",_xll.BDP($B11,AC$10,$M$10,$P11,$K$10,$L11,$W$10,$W11),_xll.BDP($B11,AC$10,$S$10,$T11,$M$10,$P11,$K$10,$L11,$W$10,$W11))</f>
        <v>44.981193402236386</v>
      </c>
      <c r="AD11" s="190">
        <f>DATE(YEAR(_xll.BTODAY()),MONTH(_xll.BTODAY()),15)</f>
        <v>45823</v>
      </c>
      <c r="AE11" s="190" cm="1">
        <f t="array" ref="AE11">_xll.BADDPERIODS(AD11,"CDR=BZ")</f>
        <v>45824</v>
      </c>
      <c r="AF11" s="150">
        <f>_xll.BCOUNTPERIODS(AE11,M11,"CDR=BZ")</f>
        <v>4</v>
      </c>
      <c r="AG11" s="190">
        <f>DATE(YEAR(_xll.BTODAY()),MONTH(_xll.BTODAY())+1,15)</f>
        <v>45853</v>
      </c>
      <c r="AH11" s="190" cm="1">
        <f t="array" ref="AH11">_xll.BADDPERIODS(AG11,"CDR=BZ")</f>
        <v>45853</v>
      </c>
      <c r="AI11" s="150" cm="1">
        <f t="array" ref="AI11">_xll.BCOUNTPERIODS(AE11,AH11,"cdr=bz")</f>
        <v>20</v>
      </c>
      <c r="AJ11" s="189" cm="1">
        <f t="array" ref="AJ11">_xll.BDP($B11,AJ$10)</f>
        <v>1614.62</v>
      </c>
      <c r="AK11" s="189" cm="1">
        <f t="array" ref="AK11">_xll.BDP($B11,AK$10)</f>
        <v>7295.46</v>
      </c>
      <c r="AL11" s="191" cm="1">
        <f t="array" ref="AL11">_xll.BDP($B11,AL$10)</f>
        <v>0.26</v>
      </c>
      <c r="AM11" s="192">
        <f>Y11/1000</f>
        <v>4.5207229564596334</v>
      </c>
      <c r="AN11" s="166" cm="1">
        <f t="array" ref="AN11">IF($B11="","",_xll.BDH($B11,AN$10,_xlfn.SINGLE(_xll.BTODAY())-1,_xlfn.SINGLE(_xll.BTODAY())-1,"pcs","TUNE"))</f>
        <v>9.9976000000000003</v>
      </c>
      <c r="AO11" s="193" cm="1">
        <f t="array" ref="AO11">IF($B11="","",_xll.BDH($B11,AO$10,_xlfn.SINGLE(_xll.BTODAY())-1,_xlfn.SINGLE(_xll.BTODAY())-1,"pcs","TUNE"))</f>
        <v>9.4300999999999995</v>
      </c>
    </row>
    <row r="12" spans="2:41" x14ac:dyDescent="0.25">
      <c r="B12" s="182" t="s">
        <v>395</v>
      </c>
      <c r="C12" s="150"/>
      <c r="D12" s="151" cm="1">
        <f t="array" ref="D12">_xll.BDP($B12,D$10)/100</f>
        <v>0.06</v>
      </c>
      <c r="E12" s="152" t="str" cm="1">
        <f t="array" ref="E12">_xll.BDP($B12,E$10)</f>
        <v>FIXED</v>
      </c>
      <c r="F12" s="153" cm="1">
        <f t="array" ref="F12">IF(E12="ZERO COUPON","",_xll.BDP($B12,F$10))</f>
        <v>2</v>
      </c>
      <c r="G12" s="154">
        <f>IF(OR(F12=0,E12="ZERO COUPON"),"",_xll.BDP($B12,G$10,$M$10,P12)*1)</f>
        <v>45792</v>
      </c>
      <c r="H12" s="154" cm="1">
        <f t="array" ref="H12">_xll.BDP($B12,H$10)*1</f>
        <v>46522</v>
      </c>
      <c r="I12" s="150" t="str" cm="1">
        <f t="array" ref="I12">_xll.BDP($B12,I$10)</f>
        <v>AT MATURITY</v>
      </c>
      <c r="J12" s="150" cm="1">
        <f t="array" ref="J12">_xll.BDP($B12,J$10)</f>
        <v>1000</v>
      </c>
      <c r="K12" s="150" t="str" cm="1">
        <f t="array" ref="K12">IF(B12="","",_xll.BDP($B12,K$10))</f>
        <v>ANDI</v>
      </c>
      <c r="L12" s="170"/>
      <c r="M12" s="183" cm="1">
        <f t="array" ref="M12">_xll.BDP($B12,M$10)*1</f>
        <v>45831</v>
      </c>
      <c r="N12" s="157">
        <f>IF(O12="",_xll.BADDPERIODS(M12,"CDR=BZ","Per=wd","NumberOfPeriods=-2"),_xll.BADDPERIODS(O12,"CDR=BZ","Per=wd","NumberOfPeriods=-2"))</f>
        <v>45826</v>
      </c>
      <c r="O12" s="170"/>
      <c r="P12" s="158" t="str">
        <f t="shared" si="0"/>
        <v>20250623</v>
      </c>
      <c r="Q12" s="159" t="str">
        <f>TEXT(YEAR(_xll.BADDPERIODS(N12,"CDR=BZ","Per=wd","NumberOfPeriods=2"))*10000+MONTH(_xll.BADDPERIODS(N12,"CDR=BZ","Per=wd","NumberOfPeriods=2"))*100+DAY(_xll.BADDPERIODS(N12,"CDR=BZ","Per=wd","NumberOfPeriods=2")),"00000000")</f>
        <v>20250623</v>
      </c>
      <c r="R12" s="184" cm="1">
        <f t="array" ref="R12">_xll.BDP($B12,$R$10,$M$10,P12)</f>
        <v>26.525195618879831</v>
      </c>
      <c r="S12" s="185" cm="1">
        <f t="array" ref="S12">IF(OR(UPPER(K12)="ANDE",UPPER(L12)="ANDE"),_xll.BDP($B12,$S$10,$K$10,L12,$W$10,W12,$P$10,Q12),_xll.BDP($B12,$S$10,$K$10,L12,$W$10,W12,$P$10,P12))</f>
        <v>8.7878000000000007</v>
      </c>
      <c r="T12" s="170"/>
      <c r="U12" s="186" cm="1">
        <f t="array" ref="U12">IF(W12="",IF(T12="",_xll.BDP($B12,U$10,$S$10,$S12,$K$10,$L12,$M$10,$P12),_xll.BDP($B12,U$10,$S$10,$T12,$M$10,$Q12,$K$10,$L12)),"-")</f>
        <v>4341.4943720000001</v>
      </c>
      <c r="V12" s="163">
        <f t="shared" ref="V12:V26" si="3">IF(T12="",U12,T12)</f>
        <v>4341.4943720000001</v>
      </c>
      <c r="W12" s="170"/>
      <c r="X12" s="187">
        <f t="shared" si="1"/>
        <v>96.035399952931527</v>
      </c>
      <c r="Y12" s="188">
        <f t="shared" si="2"/>
        <v>4520.7229564596337</v>
      </c>
      <c r="Z12" s="189" cm="1">
        <f t="array" ref="Z12">IF(W12&lt;&gt;"",_xll.BDP($B12,Z$10,$M$10,$P12,$K$10,$L12,$W$10,$W12),_xll.BDP($B12,Z$10,$S$10,$T12,$M$10,$P12,$K$10,$L12,$W$10,$W12))</f>
        <v>1.806800435516057</v>
      </c>
      <c r="AA12" s="189" cm="1">
        <f t="array" ref="AA12">IF(W12&lt;&gt;"",_xll.BDP($B12,AA$10,$M$10,$P12,$K$10,$L12,$W$10,$W12),_xll.BDP($B12,AA$10,$S$10,$T12,$M$10,$P12,$K$10,$L12,$W$10,$W12))</f>
        <v>1.6608476258204312</v>
      </c>
      <c r="AB12" s="189" cm="1">
        <f t="array" ref="AB12">IF(W12&lt;&gt;"",_xll.BDP($B12,AB$10,$M$10,$P12,$K$10,$L12,$W$10,$W12),_xll.BDP($B12,AB$10,$S$10,$T12,$M$10,$P12,$K$10,$L12,$W$10,$W12))</f>
        <v>4.3496035673899397E-2</v>
      </c>
      <c r="AC12" s="189" cm="1">
        <f t="array" ref="AC12">IF(W12&lt;&gt;"",_xll.BDP($B12,AC$10,$M$10,$P12,$K$10,$L12,$W$10,$W12),_xll.BDP($B12,AC$10,$S$10,$T12,$M$10,$P12,$K$10,$L12,$W$10,$W12))</f>
        <v>72.105531132228862</v>
      </c>
      <c r="AD12" s="190">
        <f>DATE(YEAR(_xll.BTODAY()),MONTH(_xll.BTODAY()),15)</f>
        <v>45823</v>
      </c>
      <c r="AE12" s="190" cm="1">
        <f t="array" ref="AE12">_xll.BADDPERIODS(AD12,"CDR=BZ")</f>
        <v>45824</v>
      </c>
      <c r="AF12" s="150">
        <f>_xll.BCOUNTPERIODS(AE12,M12,"CDR=BZ")</f>
        <v>4</v>
      </c>
      <c r="AG12" s="190">
        <f>DATE(YEAR(_xll.BTODAY()),MONTH(_xll.BTODAY())+1,15)</f>
        <v>45853</v>
      </c>
      <c r="AH12" s="190" cm="1">
        <f t="array" ref="AH12">_xll.BADDPERIODS(AG12,"CDR=BZ")</f>
        <v>45853</v>
      </c>
      <c r="AI12" s="150" cm="1">
        <f t="array" ref="AI12">_xll.BCOUNTPERIODS(AE12,AH12,"cdr=bz")</f>
        <v>20</v>
      </c>
      <c r="AJ12" s="189" cm="1">
        <f t="array" ref="AJ12">_xll.BDP($B12,AJ$10)</f>
        <v>1614.62</v>
      </c>
      <c r="AK12" s="189" cm="1">
        <f t="array" ref="AK12">_xll.BDP($B12,AK$10)</f>
        <v>7295.46</v>
      </c>
      <c r="AL12" s="191" cm="1">
        <f t="array" ref="AL12">_xll.BDP($B12,AL$10)</f>
        <v>0.26</v>
      </c>
      <c r="AM12" s="192">
        <f t="shared" ref="AM12:AM26" si="4">Y12/1000</f>
        <v>4.5207229564596334</v>
      </c>
      <c r="AN12" s="166" cm="1">
        <f t="array" ref="AN12">IF($B12="","",_xll.BDH($B12,AN$10,_xlfn.SINGLE(_xll.BTODAY())-1,_xlfn.SINGLE(_xll.BTODAY())-1,"pcs","TUNE"))</f>
        <v>9.0144000000000002</v>
      </c>
      <c r="AO12" s="193" cm="1">
        <f t="array" ref="AO12">IF($B12="","",_xll.BDH($B12,AO$10,_xlfn.SINGLE(_xll.BTODAY())-1,_xlfn.SINGLE(_xll.BTODAY())-1,"pcs","TUNE"))</f>
        <v>8.3870000000000005</v>
      </c>
    </row>
    <row r="13" spans="2:41" x14ac:dyDescent="0.25">
      <c r="B13" s="182" t="s">
        <v>396</v>
      </c>
      <c r="C13" s="150"/>
      <c r="D13" s="151" cm="1">
        <f t="array" ref="D13">_xll.BDP($B13,D$10)/100</f>
        <v>0.06</v>
      </c>
      <c r="E13" s="152" t="str" cm="1">
        <f t="array" ref="E13">_xll.BDP($B13,E$10)</f>
        <v>FIXED</v>
      </c>
      <c r="F13" s="153" cm="1">
        <f t="array" ref="F13">IF(E13="ZERO COUPON","",_xll.BDP($B13,F$10))</f>
        <v>2</v>
      </c>
      <c r="G13" s="154">
        <f>IF(OR(F13=0,E13="ZERO COUPON"),"",_xll.BDP($B13,G$10,$M$10,P13)*1)</f>
        <v>45705</v>
      </c>
      <c r="H13" s="154" cm="1">
        <f t="array" ref="H13">_xll.BDP($B13,H$10)*1</f>
        <v>46980</v>
      </c>
      <c r="I13" s="150" t="str" cm="1">
        <f t="array" ref="I13">_xll.BDP($B13,I$10)</f>
        <v>AT MATURITY</v>
      </c>
      <c r="J13" s="150" cm="1">
        <f t="array" ref="J13">_xll.BDP($B13,J$10)</f>
        <v>1000</v>
      </c>
      <c r="K13" s="150" t="str" cm="1">
        <f t="array" ref="K13">IF(B13="","",_xll.BDP($B13,K$10))</f>
        <v>ANDI</v>
      </c>
      <c r="L13" s="170"/>
      <c r="M13" s="183" cm="1">
        <f t="array" ref="M13">_xll.BDP($B13,M$10)*1</f>
        <v>45831</v>
      </c>
      <c r="N13" s="157">
        <f>IF(O13="",_xll.BADDPERIODS(M13,"CDR=BZ","Per=wd","NumberOfPeriods=-2"),_xll.BADDPERIODS(O13,"CDR=BZ","Per=wd","NumberOfPeriods=-2"))</f>
        <v>45826</v>
      </c>
      <c r="O13" s="170"/>
      <c r="P13" s="158" t="str">
        <f t="shared" si="0"/>
        <v>20250623</v>
      </c>
      <c r="Q13" s="159" t="str">
        <f>TEXT(YEAR(_xll.BADDPERIODS(N13,"CDR=BZ","Per=wd","NumberOfPeriods=2"))*10000+MONTH(_xll.BADDPERIODS(N13,"CDR=BZ","Per=wd","NumberOfPeriods=2"))*100+DAY(_xll.BADDPERIODS(N13,"CDR=BZ","Per=wd","NumberOfPeriods=2")),"00000000")</f>
        <v>20250623</v>
      </c>
      <c r="R13" s="184" cm="1">
        <f t="array" ref="R13">_xll.BDP($B13,$R$10,$M$10,P13)</f>
        <v>91.270560534757252</v>
      </c>
      <c r="S13" s="185" cm="1">
        <f t="array" ref="S13">IF(OR(UPPER(K13)="ANDE",UPPER(L13)="ANDE"),_xll.BDP($B13,$S$10,$K$10,L13,$W$10,W13,$P$10,Q13),_xll.BDP($B13,$S$10,$K$10,L13,$W$10,W13,$P$10,P13))</f>
        <v>8.0088000000000008</v>
      </c>
      <c r="T13" s="170"/>
      <c r="U13" s="186" cm="1">
        <f t="array" ref="U13">IF(W13="",IF(T13="",_xll.BDP($B13,U$10,$S$10,$S13,$K$10,$L13,$M$10,$P13),_xll.BDP($B13,U$10,$S$10,$T13,$M$10,$Q13,$K$10,$L13)),"-")</f>
        <v>4375.9874879999998</v>
      </c>
      <c r="V13" s="163">
        <f t="shared" si="3"/>
        <v>4375.9874879999998</v>
      </c>
      <c r="W13" s="170"/>
      <c r="X13" s="187">
        <f t="shared" si="1"/>
        <v>96.798399949441233</v>
      </c>
      <c r="Y13" s="188">
        <f t="shared" si="2"/>
        <v>4520.7229564596337</v>
      </c>
      <c r="Z13" s="189" cm="1">
        <f t="array" ref="Z13">IF(W13&lt;&gt;"",_xll.BDP($B13,Z$10,$M$10,$P13,$K$10,$L13,$W$10,$W13),_xll.BDP($B13,Z$10,$S$10,$T13,$M$10,$P13,$K$10,$L13,$W$10,$W13))</f>
        <v>2.8397444410677433</v>
      </c>
      <c r="AA13" s="189" cm="1">
        <f t="array" ref="AA13">IF(W13&lt;&gt;"",_xll.BDP($B13,AA$10,$M$10,$P13,$K$10,$L13,$W$10,$W13),_xll.BDP($B13,AA$10,$S$10,$T13,$M$10,$P13,$K$10,$L13,$W$10,$W13))</f>
        <v>2.6291784049926679</v>
      </c>
      <c r="AB13" s="189" cm="1">
        <f t="array" ref="AB13">IF(W13&lt;&gt;"",_xll.BDP($B13,AB$10,$M$10,$P13,$K$10,$L13,$W$10,$W13),_xll.BDP($B13,AB$10,$S$10,$T13,$M$10,$P13,$K$10,$L13,$W$10,$W13))</f>
        <v>9.8473781633855922E-2</v>
      </c>
      <c r="AC13" s="189" cm="1">
        <f t="array" ref="AC13">IF(W13&lt;&gt;"",_xll.BDP($B13,AC$10,$M$10,$P13,$K$10,$L13,$W$10,$W13),_xll.BDP($B13,AC$10,$S$10,$T13,$M$10,$P13,$K$10,$L13,$W$10,$W13))</f>
        <v>115.05239920475105</v>
      </c>
      <c r="AD13" s="190">
        <f>DATE(YEAR(_xll.BTODAY()),MONTH(_xll.BTODAY()),15)</f>
        <v>45823</v>
      </c>
      <c r="AE13" s="190" cm="1">
        <f t="array" ref="AE13">_xll.BADDPERIODS(AD13,"CDR=BZ")</f>
        <v>45824</v>
      </c>
      <c r="AF13" s="150">
        <f>_xll.BCOUNTPERIODS(AE13,M13,"CDR=BZ")</f>
        <v>4</v>
      </c>
      <c r="AG13" s="190">
        <f>DATE(YEAR(_xll.BTODAY()),MONTH(_xll.BTODAY())+1,15)</f>
        <v>45853</v>
      </c>
      <c r="AH13" s="190" cm="1">
        <f t="array" ref="AH13">_xll.BADDPERIODS(AG13,"CDR=BZ")</f>
        <v>45853</v>
      </c>
      <c r="AI13" s="150" cm="1">
        <f t="array" ref="AI13">_xll.BCOUNTPERIODS(AE13,AH13,"cdr=bz")</f>
        <v>20</v>
      </c>
      <c r="AJ13" s="189" cm="1">
        <f t="array" ref="AJ13">_xll.BDP($B13,AJ$10)</f>
        <v>1614.62</v>
      </c>
      <c r="AK13" s="189" cm="1">
        <f t="array" ref="AK13">_xll.BDP($B13,AK$10)</f>
        <v>7295.46</v>
      </c>
      <c r="AL13" s="191" cm="1">
        <f t="array" ref="AL13">_xll.BDP($B13,AL$10)</f>
        <v>0.26</v>
      </c>
      <c r="AM13" s="192">
        <f t="shared" si="4"/>
        <v>4.5207229564596334</v>
      </c>
      <c r="AN13" s="166" cm="1">
        <f t="array" ref="AN13">IF($B13="","",_xll.BDH($B13,AN$10,_xlfn.SINGLE(_xll.BTODAY())-1,_xlfn.SINGLE(_xll.BTODAY())-1,"pcs","TUNE"))</f>
        <v>8.3510000000000009</v>
      </c>
      <c r="AO13" s="193" cm="1">
        <f t="array" ref="AO13">IF($B13="","",_xll.BDH($B13,AO$10,_xlfn.SINGLE(_xll.BTODAY())-1,_xlfn.SINGLE(_xll.BTODAY())-1,"pcs","TUNE"))</f>
        <v>7.6905999999999999</v>
      </c>
    </row>
    <row r="14" spans="2:41" x14ac:dyDescent="0.25">
      <c r="B14" s="182" t="s">
        <v>397</v>
      </c>
      <c r="C14" s="150"/>
      <c r="D14" s="151" cm="1">
        <f t="array" ref="D14">_xll.BDP($B14,D$10)/100</f>
        <v>0.06</v>
      </c>
      <c r="E14" s="152" t="str" cm="1">
        <f t="array" ref="E14">_xll.BDP($B14,E$10)</f>
        <v>FIXED</v>
      </c>
      <c r="F14" s="153" cm="1">
        <f t="array" ref="F14">IF(E14="ZERO COUPON","",_xll.BDP($B14,F$10))</f>
        <v>2</v>
      </c>
      <c r="G14" s="154">
        <f>IF(OR(F14=0,E14="ZERO COUPON"),"",_xll.BDP($B14,G$10,$M$10,P14)*1)</f>
        <v>45792</v>
      </c>
      <c r="H14" s="154" cm="1">
        <f t="array" ref="H14">_xll.BDP($B14,H$10)*1</f>
        <v>47253</v>
      </c>
      <c r="I14" s="150" t="str" cm="1">
        <f t="array" ref="I14">_xll.BDP($B14,I$10)</f>
        <v>AT MATURITY</v>
      </c>
      <c r="J14" s="150" cm="1">
        <f t="array" ref="J14">_xll.BDP($B14,J$10)</f>
        <v>1000</v>
      </c>
      <c r="K14" s="150" t="str" cm="1">
        <f t="array" ref="K14">IF(B14="","",_xll.BDP($B14,K$10))</f>
        <v>ANDI</v>
      </c>
      <c r="L14" s="170"/>
      <c r="M14" s="183" cm="1">
        <f t="array" ref="M14">_xll.BDP($B14,M$10)*1</f>
        <v>45831</v>
      </c>
      <c r="N14" s="157">
        <f>IF(O14="",_xll.BADDPERIODS(M14,"CDR=BZ","Per=wd","NumberOfPeriods=-2"),_xll.BADDPERIODS(O14,"CDR=BZ","Per=wd","NumberOfPeriods=-2"))</f>
        <v>45826</v>
      </c>
      <c r="O14" s="170"/>
      <c r="P14" s="158" t="str">
        <f t="shared" si="0"/>
        <v>20250623</v>
      </c>
      <c r="Q14" s="159" t="str">
        <f>TEXT(YEAR(_xll.BADDPERIODS(N14,"CDR=BZ","Per=wd","NumberOfPeriods=2"))*10000+MONTH(_xll.BADDPERIODS(N14,"CDR=BZ","Per=wd","NumberOfPeriods=2"))*100+DAY(_xll.BADDPERIODS(N14,"CDR=BZ","Per=wd","NumberOfPeriods=2")),"00000000")</f>
        <v>20250623</v>
      </c>
      <c r="R14" s="184" cm="1">
        <f t="array" ref="R14">_xll.BDP($B14,$R$10,$M$10,P14)</f>
        <v>26.525195618879831</v>
      </c>
      <c r="S14" s="185" cm="1">
        <f t="array" ref="S14">IF(OR(UPPER(K14)="ANDE",UPPER(L14)="ANDE"),_xll.BDP($B14,$S$10,$K$10,L14,$W$10,W14,$P$10,Q14),_xll.BDP($B14,$S$10,$K$10,L14,$W$10,W14,$P$10,P14))</f>
        <v>7.6760000000000002</v>
      </c>
      <c r="T14" s="170"/>
      <c r="U14" s="186" cm="1">
        <f t="array" ref="U14">IF(W14="",IF(T14="",_xll.BDP($B14,U$10,$S$10,$S14,$K$10,$L14,$M$10,$P14),_xll.BDP($B14,U$10,$S$10,$T14,$M$10,$Q14,$K$10,$L14)),"-")</f>
        <v>4311.5536240000001</v>
      </c>
      <c r="V14" s="163">
        <f t="shared" si="3"/>
        <v>4311.5536240000001</v>
      </c>
      <c r="W14" s="170"/>
      <c r="X14" s="187">
        <f t="shared" si="1"/>
        <v>95.373099956042367</v>
      </c>
      <c r="Y14" s="188">
        <f t="shared" si="2"/>
        <v>4520.7229564596337</v>
      </c>
      <c r="Z14" s="189" cm="1">
        <f t="array" ref="Z14">IF(W14&lt;&gt;"",_xll.BDP($B14,Z$10,$M$10,$P14,$K$10,$L14,$W$10,$W14),_xll.BDP($B14,Z$10,$S$10,$T14,$M$10,$P14,$K$10,$L14,$W$10,$W14))</f>
        <v>3.4829616958105163</v>
      </c>
      <c r="AA14" s="189" cm="1">
        <f t="array" ref="AA14">IF(W14&lt;&gt;"",_xll.BDP($B14,AA$10,$M$10,$P14,$K$10,$L14,$W$10,$W14),_xll.BDP($B14,AA$10,$S$10,$T14,$M$10,$P14,$K$10,$L14,$W$10,$W14))</f>
        <v>3.2346680926463089</v>
      </c>
      <c r="AB14" s="189" cm="1">
        <f t="array" ref="AB14">IF(W14&lt;&gt;"",_xll.BDP($B14,AB$10,$M$10,$P14,$K$10,$L14,$W$10,$W14),_xll.BDP($B14,AB$10,$S$10,$T14,$M$10,$P14,$K$10,$L14,$W$10,$W14))</f>
        <v>0.14173742564678465</v>
      </c>
      <c r="AC14" s="189" cm="1">
        <f t="array" ref="AC14">IF(W14&lt;&gt;"",_xll.BDP($B14,AC$10,$M$10,$P14,$K$10,$L14,$W$10,$W14),_xll.BDP($B14,AC$10,$S$10,$T14,$M$10,$P14,$K$10,$L14,$W$10,$W14))</f>
        <v>139.46430316173064</v>
      </c>
      <c r="AD14" s="190">
        <f>DATE(YEAR(_xll.BTODAY()),MONTH(_xll.BTODAY()),15)</f>
        <v>45823</v>
      </c>
      <c r="AE14" s="190" cm="1">
        <f t="array" ref="AE14">_xll.BADDPERIODS(AD14,"CDR=BZ")</f>
        <v>45824</v>
      </c>
      <c r="AF14" s="150">
        <f>_xll.BCOUNTPERIODS(AE14,M14,"CDR=BZ")</f>
        <v>4</v>
      </c>
      <c r="AG14" s="190">
        <f>DATE(YEAR(_xll.BTODAY()),MONTH(_xll.BTODAY())+1,15)</f>
        <v>45853</v>
      </c>
      <c r="AH14" s="190" cm="1">
        <f t="array" ref="AH14">_xll.BADDPERIODS(AG14,"CDR=BZ")</f>
        <v>45853</v>
      </c>
      <c r="AI14" s="150" cm="1">
        <f t="array" ref="AI14">_xll.BCOUNTPERIODS(AE14,AH14,"cdr=bz")</f>
        <v>20</v>
      </c>
      <c r="AJ14" s="189" cm="1">
        <f t="array" ref="AJ14">_xll.BDP($B14,AJ$10)</f>
        <v>1614.62</v>
      </c>
      <c r="AK14" s="189" cm="1">
        <f t="array" ref="AK14">_xll.BDP($B14,AK$10)</f>
        <v>7295.46</v>
      </c>
      <c r="AL14" s="191" cm="1">
        <f t="array" ref="AL14">_xll.BDP($B14,AL$10)</f>
        <v>0.26</v>
      </c>
      <c r="AM14" s="192">
        <f t="shared" si="4"/>
        <v>4.5207229564596334</v>
      </c>
      <c r="AN14" s="166" cm="1">
        <f t="array" ref="AN14">IF($B14="","",_xll.BDH($B14,AN$10,_xlfn.SINGLE(_xll.BTODAY())-1,_xlfn.SINGLE(_xll.BTODAY())-1,"pcs","TUNE"))</f>
        <v>7.9875999999999996</v>
      </c>
      <c r="AO14" s="193" cm="1">
        <f t="array" ref="AO14">IF($B14="","",_xll.BDH($B14,AO$10,_xlfn.SINGLE(_xll.BTODAY())-1,_xlfn.SINGLE(_xll.BTODAY())-1,"pcs","TUNE"))</f>
        <v>7.4015000000000004</v>
      </c>
    </row>
    <row r="15" spans="2:41" x14ac:dyDescent="0.25">
      <c r="B15" s="182" t="s">
        <v>385</v>
      </c>
      <c r="C15" s="150"/>
      <c r="D15" s="151" cm="1">
        <f t="array" ref="D15">_xll.BDP($B15,D$10)/100</f>
        <v>0.06</v>
      </c>
      <c r="E15" s="152" t="str" cm="1">
        <f t="array" ref="E15">_xll.BDP($B15,E$10)</f>
        <v>FIXED</v>
      </c>
      <c r="F15" s="153" cm="1">
        <f t="array" ref="F15">IF(E15="ZERO COUPON","",_xll.BDP($B15,F$10))</f>
        <v>2</v>
      </c>
      <c r="G15" s="154">
        <f>IF(OR(F15=0,E15="ZERO COUPON"),"",_xll.BDP($B15,G$10,$M$10,P15)*1)</f>
        <v>45705</v>
      </c>
      <c r="H15" s="154" cm="1">
        <f t="array" ref="H15">_xll.BDP($B15,H$10)*1</f>
        <v>47710</v>
      </c>
      <c r="I15" s="150" t="str" cm="1">
        <f t="array" ref="I15">_xll.BDP($B15,I$10)</f>
        <v>AT MATURITY</v>
      </c>
      <c r="J15" s="150" cm="1">
        <f t="array" ref="J15">_xll.BDP($B15,J$10)</f>
        <v>1000</v>
      </c>
      <c r="K15" s="150" t="str" cm="1">
        <f t="array" ref="K15">IF(B15="","",_xll.BDP($B15,K$10))</f>
        <v>ANDI</v>
      </c>
      <c r="L15" s="170"/>
      <c r="M15" s="183" cm="1">
        <f t="array" ref="M15">_xll.BDP($B15,M$10)*1</f>
        <v>45831</v>
      </c>
      <c r="N15" s="157">
        <f>IF(O15="",_xll.BADDPERIODS(M15,"CDR=BZ","Per=wd","NumberOfPeriods=-2"),_xll.BADDPERIODS(O15,"CDR=BZ","Per=wd","NumberOfPeriods=-2"))</f>
        <v>45826</v>
      </c>
      <c r="O15" s="170"/>
      <c r="P15" s="158" t="str">
        <f t="shared" si="0"/>
        <v>20250623</v>
      </c>
      <c r="Q15" s="159" t="str">
        <f>TEXT(YEAR(_xll.BADDPERIODS(N15,"CDR=BZ","Per=wd","NumberOfPeriods=2"))*10000+MONTH(_xll.BADDPERIODS(N15,"CDR=BZ","Per=wd","NumberOfPeriods=2"))*100+DAY(_xll.BADDPERIODS(N15,"CDR=BZ","Per=wd","NumberOfPeriods=2")),"00000000")</f>
        <v>20250623</v>
      </c>
      <c r="R15" s="184" cm="1">
        <f t="array" ref="R15">_xll.BDP($B15,$R$10,$M$10,P15)</f>
        <v>91.270560534757252</v>
      </c>
      <c r="S15" s="185" cm="1">
        <f t="array" ref="S15">IF(OR(UPPER(K15)="ANDE",UPPER(L15)="ANDE"),_xll.BDP($B15,$S$10,$K$10,L15,$W$10,W15,$P$10,Q15),_xll.BDP($B15,$S$10,$K$10,L15,$W$10,W15,$P$10,P15))</f>
        <v>7.5636999999999999</v>
      </c>
      <c r="T15" s="170"/>
      <c r="U15" s="186" cm="1">
        <f t="array" ref="U15">IF(W15="",IF(T15="",_xll.BDP($B15,U$10,$S$10,$S15,$K$10,$L15,$M$10,$P15),_xll.BDP($B15,U$10,$S$10,$T15,$M$10,$Q15,$K$10,$L15)),"-")</f>
        <v>4334.0984689999996</v>
      </c>
      <c r="V15" s="163">
        <f t="shared" si="3"/>
        <v>4334.0984689999996</v>
      </c>
      <c r="W15" s="170"/>
      <c r="X15" s="187">
        <f t="shared" si="1"/>
        <v>95.871799947551139</v>
      </c>
      <c r="Y15" s="188">
        <f t="shared" si="2"/>
        <v>4520.7229564596337</v>
      </c>
      <c r="Z15" s="189" cm="1">
        <f t="array" ref="Z15">IF(W15&lt;&gt;"",_xll.BDP($B15,Z$10,$M$10,$P15,$K$10,$L15,$W$10,$W15),_xll.BDP($B15,Z$10,$S$10,$T15,$M$10,$P15,$K$10,$L15,$W$10,$W15))</f>
        <v>4.3700142018854775</v>
      </c>
      <c r="AA15" s="189" cm="1">
        <f t="array" ref="AA15">IF(W15&lt;&gt;"",_xll.BDP($B15,AA$10,$M$10,$P15,$K$10,$L15,$W$10,$W15),_xll.BDP($B15,AA$10,$S$10,$T15,$M$10,$P15,$K$10,$L15,$W$10,$W15))</f>
        <v>4.0627213244360831</v>
      </c>
      <c r="AB15" s="189" cm="1">
        <f t="array" ref="AB15">IF(W15&lt;&gt;"",_xll.BDP($B15,AB$10,$M$10,$P15,$K$10,$L15,$W$10,$W15),_xll.BDP($B15,AB$10,$S$10,$T15,$M$10,$P15,$K$10,$L15,$W$10,$W15))</f>
        <v>0.22086831650540786</v>
      </c>
      <c r="AC15" s="189" cm="1">
        <f t="array" ref="AC15">IF(W15&lt;&gt;"",_xll.BDP($B15,AC$10,$M$10,$P15,$K$10,$L15,$W$10,$W15),_xll.BDP($B15,AC$10,$S$10,$T15,$M$10,$P15,$K$10,$L15,$W$10,$W15))</f>
        <v>176.08215909722276</v>
      </c>
      <c r="AD15" s="190">
        <f>DATE(YEAR(_xll.BTODAY()),MONTH(_xll.BTODAY()),15)</f>
        <v>45823</v>
      </c>
      <c r="AE15" s="190" cm="1">
        <f t="array" ref="AE15">_xll.BADDPERIODS(AD15,"CDR=BZ")</f>
        <v>45824</v>
      </c>
      <c r="AF15" s="150" cm="1">
        <f t="array" ref="AF15">_xll.BCOUNTPERIODS(AE15,M15,"CDR=BZ")</f>
        <v>4</v>
      </c>
      <c r="AG15" s="190">
        <f>DATE(YEAR(_xll.BTODAY()),MONTH(_xll.BTODAY())+1,15)</f>
        <v>45853</v>
      </c>
      <c r="AH15" s="190" cm="1">
        <f t="array" ref="AH15">_xll.BADDPERIODS(AG15,"CDR=BZ")</f>
        <v>45853</v>
      </c>
      <c r="AI15" s="150" cm="1">
        <f t="array" ref="AI15">_xll.BCOUNTPERIODS(AE15,AH15,"cdr=bz")</f>
        <v>20</v>
      </c>
      <c r="AJ15" s="189" cm="1">
        <f t="array" ref="AJ15">_xll.BDP($B15,AJ$10)</f>
        <v>1614.62</v>
      </c>
      <c r="AK15" s="189" cm="1">
        <f t="array" ref="AK15">_xll.BDP($B15,AK$10)</f>
        <v>7295.46</v>
      </c>
      <c r="AL15" s="191" cm="1">
        <f t="array" ref="AL15">_xll.BDP($B15,AL$10)</f>
        <v>0.26</v>
      </c>
      <c r="AM15" s="192">
        <f t="shared" si="4"/>
        <v>4.5207229564596334</v>
      </c>
      <c r="AN15" s="166" cm="1">
        <f t="array" ref="AN15">IF($B15="","",_xll.BDH($B15,AN$10,_xlfn.SINGLE(_xll.BTODAY())-1,_xlfn.SINGLE(_xll.BTODAY())-1,"pcs","TUNE"))</f>
        <v>7.8293999999999997</v>
      </c>
      <c r="AO15" s="193" cm="1">
        <f t="array" ref="AO15">IF($B15="","",_xll.BDH($B15,AO$10,_xlfn.SINGLE(_xll.BTODAY())-1,_xlfn.SINGLE(_xll.BTODAY())-1,"pcs","TUNE"))</f>
        <v>7.3215000000000003</v>
      </c>
    </row>
    <row r="16" spans="2:41" x14ac:dyDescent="0.25">
      <c r="B16" s="182" t="s">
        <v>398</v>
      </c>
      <c r="C16" s="150"/>
      <c r="D16" s="151" cm="1">
        <f t="array" ref="D16">_xll.BDP($B16,D$10)/100</f>
        <v>0.06</v>
      </c>
      <c r="E16" s="152" t="str" cm="1">
        <f t="array" ref="E16">_xll.BDP($B16,E$10)</f>
        <v>FIXED</v>
      </c>
      <c r="F16" s="153" cm="1">
        <f t="array" ref="F16">IF(E16="ZERO COUPON","",_xll.BDP($B16,F$10))</f>
        <v>2</v>
      </c>
      <c r="G16" s="154">
        <f>IF(OR(F16=0,E16="ZERO COUPON"),"",_xll.BDP($B16,G$10,$M$10,P16)*1)</f>
        <v>45705</v>
      </c>
      <c r="H16" s="154" cm="1">
        <f t="array" ref="H16">_xll.BDP($B16,H$10)*1</f>
        <v>48441</v>
      </c>
      <c r="I16" s="150" t="str" cm="1">
        <f t="array" ref="I16">_xll.BDP($B16,I$10)</f>
        <v>AT MATURITY</v>
      </c>
      <c r="J16" s="150" cm="1">
        <f t="array" ref="J16">_xll.BDP($B16,J$10)</f>
        <v>1000</v>
      </c>
      <c r="K16" s="150" t="str" cm="1">
        <f t="array" ref="K16">IF(B16="","",_xll.BDP($B16,K$10))</f>
        <v>ANDI</v>
      </c>
      <c r="L16" s="170"/>
      <c r="M16" s="183" cm="1">
        <f t="array" ref="M16">_xll.BDP($B16,M$10)*1</f>
        <v>45831</v>
      </c>
      <c r="N16" s="157">
        <f>IF(O16="",_xll.BADDPERIODS(M16,"CDR=BZ","Per=wd","NumberOfPeriods=-2"),_xll.BADDPERIODS(O16,"CDR=BZ","Per=wd","NumberOfPeriods=-2"))</f>
        <v>45826</v>
      </c>
      <c r="O16" s="170"/>
      <c r="P16" s="158" t="str">
        <f t="shared" si="0"/>
        <v>20250623</v>
      </c>
      <c r="Q16" s="159" t="str">
        <f>TEXT(YEAR(_xll.BADDPERIODS(N16,"CDR=BZ","Per=wd","NumberOfPeriods=2"))*10000+MONTH(_xll.BADDPERIODS(N16,"CDR=BZ","Per=wd","NumberOfPeriods=2"))*100+DAY(_xll.BADDPERIODS(N16,"CDR=BZ","Per=wd","NumberOfPeriods=2")),"00000000")</f>
        <v>20250623</v>
      </c>
      <c r="R16" s="184" cm="1">
        <f t="array" ref="R16">_xll.BDP($B16,$R$10,$M$10,P16)</f>
        <v>91.270560534757252</v>
      </c>
      <c r="S16" s="185" cm="1">
        <f t="array" ref="S16">IF(OR(UPPER(K16)="ANDE",UPPER(L16)="ANDE"),_xll.BDP($B16,$S$10,$K$10,L16,$W$10,W16,$P$10,Q16),_xll.BDP($B16,$S$10,$K$10,L16,$W$10,W16,$P$10,P16))</f>
        <v>7.4923999999999999</v>
      </c>
      <c r="T16" s="170"/>
      <c r="U16" s="186" cm="1">
        <f t="array" ref="U16">IF(W16="",IF(T16="",_xll.BDP($B16,U$10,$S$10,$S16,$K$10,$L16,$M$10,$P16),_xll.BDP($B16,U$10,$S$10,$T16,$M$10,$Q16,$K$10,$L16)),"-")</f>
        <v>4264.1448019999998</v>
      </c>
      <c r="V16" s="163">
        <f t="shared" si="3"/>
        <v>4264.1448019999998</v>
      </c>
      <c r="W16" s="170"/>
      <c r="X16" s="187">
        <f t="shared" si="1"/>
        <v>94.324399948176179</v>
      </c>
      <c r="Y16" s="188">
        <f t="shared" si="2"/>
        <v>4520.7229564596337</v>
      </c>
      <c r="Z16" s="189" cm="1">
        <f t="array" ref="Z16">IF(W16&lt;&gt;"",_xll.BDP($B16,Z$10,$M$10,$P16,$K$10,$L16,$W$10,$W16),_xll.BDP($B16,Z$10,$S$10,$T16,$M$10,$P16,$K$10,$L16,$W$10,$W16))</f>
        <v>5.720815194143869</v>
      </c>
      <c r="AA16" s="189" cm="1">
        <f t="array" ref="AA16">IF(W16&lt;&gt;"",_xll.BDP($B16,AA$10,$M$10,$P16,$K$10,$L16,$W$10,$W16),_xll.BDP($B16,AA$10,$S$10,$T16,$M$10,$P16,$K$10,$L16,$W$10,$W16))</f>
        <v>5.3220644097021754</v>
      </c>
      <c r="AB16" s="189" cm="1">
        <f t="array" ref="AB16">IF(W16&lt;&gt;"",_xll.BDP($B16,AB$10,$M$10,$P16,$K$10,$L16,$W$10,$W16),_xll.BDP($B16,AB$10,$S$10,$T16,$M$10,$P16,$K$10,$L16,$W$10,$W16))</f>
        <v>0.37618578369510891</v>
      </c>
      <c r="AC16" s="189" cm="1">
        <f t="array" ref="AC16">IF(W16&lt;&gt;"",_xll.BDP($B16,AC$10,$M$10,$P16,$K$10,$L16,$W$10,$W16),_xll.BDP($B16,AC$10,$S$10,$T16,$M$10,$P16,$K$10,$L16,$W$10,$W16))</f>
        <v>226.94029234103255</v>
      </c>
      <c r="AD16" s="190">
        <f>DATE(YEAR(_xll.BTODAY()),MONTH(_xll.BTODAY()),15)</f>
        <v>45823</v>
      </c>
      <c r="AE16" s="190" cm="1">
        <f t="array" ref="AE16">_xll.BADDPERIODS(AD16,"CDR=BZ")</f>
        <v>45824</v>
      </c>
      <c r="AF16" s="150">
        <f>_xll.BCOUNTPERIODS(AE16,M16,"CDR=BZ")</f>
        <v>4</v>
      </c>
      <c r="AG16" s="190">
        <f>DATE(YEAR(_xll.BTODAY()),MONTH(_xll.BTODAY())+1,15)</f>
        <v>45853</v>
      </c>
      <c r="AH16" s="190" cm="1">
        <f t="array" ref="AH16">_xll.BADDPERIODS(AG16,"CDR=BZ")</f>
        <v>45853</v>
      </c>
      <c r="AI16" s="150" cm="1">
        <f t="array" ref="AI16">_xll.BCOUNTPERIODS(AE16,AH16,"cdr=bz")</f>
        <v>20</v>
      </c>
      <c r="AJ16" s="189" cm="1">
        <f t="array" ref="AJ16">_xll.BDP($B16,AJ$10)</f>
        <v>1614.62</v>
      </c>
      <c r="AK16" s="189" cm="1">
        <f t="array" ref="AK16">_xll.BDP($B16,AK$10)</f>
        <v>7295.46</v>
      </c>
      <c r="AL16" s="191" cm="1">
        <f t="array" ref="AL16">_xll.BDP($B16,AL$10)</f>
        <v>0.26</v>
      </c>
      <c r="AM16" s="192">
        <f t="shared" si="4"/>
        <v>4.5207229564596334</v>
      </c>
      <c r="AN16" s="166" cm="1">
        <f t="array" ref="AN16">IF($B16="","",_xll.BDH($B16,AN$10,_xlfn.SINGLE(_xll.BTODAY())-1,_xlfn.SINGLE(_xll.BTODAY())-1,"pcs","TUNE"))</f>
        <v>7.7724000000000002</v>
      </c>
      <c r="AO16" s="193" cm="1">
        <f t="array" ref="AO16">IF($B16="","",_xll.BDH($B16,AO$10,_xlfn.SINGLE(_xll.BTODAY())-1,_xlfn.SINGLE(_xll.BTODAY())-1,"pcs","TUNE"))</f>
        <v>7.3116000000000003</v>
      </c>
    </row>
    <row r="17" spans="2:41" x14ac:dyDescent="0.25">
      <c r="B17" s="182" t="s">
        <v>399</v>
      </c>
      <c r="C17" s="150"/>
      <c r="D17" s="151" cm="1">
        <f t="array" ref="D17">_xll.BDP($B17,D$10)/100</f>
        <v>0.06</v>
      </c>
      <c r="E17" s="152" t="str" cm="1">
        <f t="array" ref="E17">_xll.BDP($B17,E$10)</f>
        <v>FIXED</v>
      </c>
      <c r="F17" s="153" cm="1">
        <f t="array" ref="F17">IF(E17="ZERO COUPON","",_xll.BDP($B17,F$10))</f>
        <v>2</v>
      </c>
      <c r="G17" s="154">
        <f>IF(OR(F17=0,E17="ZERO COUPON"),"",_xll.BDP($B17,G$10,$M$10,P17)*1)</f>
        <v>45792</v>
      </c>
      <c r="H17" s="154" cm="1">
        <f t="array" ref="H17">_xll.BDP($B17,H$10)*1</f>
        <v>48714</v>
      </c>
      <c r="I17" s="150" t="str" cm="1">
        <f t="array" ref="I17">_xll.BDP($B17,I$10)</f>
        <v>AT MATURITY</v>
      </c>
      <c r="J17" s="150" cm="1">
        <f t="array" ref="J17">_xll.BDP($B17,J$10)</f>
        <v>1000</v>
      </c>
      <c r="K17" s="150" t="str" cm="1">
        <f t="array" ref="K17">IF(B17="","",_xll.BDP($B17,K$10))</f>
        <v>ANDI</v>
      </c>
      <c r="L17" s="170"/>
      <c r="M17" s="183" cm="1">
        <f t="array" ref="M17">_xll.BDP($B17,M$10)*1</f>
        <v>45831</v>
      </c>
      <c r="N17" s="157">
        <f>IF(O17="",_xll.BADDPERIODS(M17,"CDR=BZ","Per=wd","NumberOfPeriods=-2"),_xll.BADDPERIODS(O17,"CDR=BZ","Per=wd","NumberOfPeriods=-2"))</f>
        <v>45826</v>
      </c>
      <c r="O17" s="170"/>
      <c r="P17" s="158" t="str">
        <f t="shared" si="0"/>
        <v>20250623</v>
      </c>
      <c r="Q17" s="159" t="str">
        <f>TEXT(YEAR(_xll.BADDPERIODS(N17,"CDR=BZ","Per=wd","NumberOfPeriods=2"))*10000+MONTH(_xll.BADDPERIODS(N17,"CDR=BZ","Per=wd","NumberOfPeriods=2"))*100+DAY(_xll.BADDPERIODS(N17,"CDR=BZ","Per=wd","NumberOfPeriods=2")),"00000000")</f>
        <v>20250623</v>
      </c>
      <c r="R17" s="184" cm="1">
        <f t="array" ref="R17">_xll.BDP($B17,$R$10,$M$10,P17)</f>
        <v>26.525195618879831</v>
      </c>
      <c r="S17" s="185" cm="1">
        <f t="array" ref="S17">IF(OR(UPPER(K17)="ANDE",UPPER(L17)="ANDE"),_xll.BDP($B17,$S$10,$K$10,L17,$W$10,W17,$P$10,Q17),_xll.BDP($B17,$S$10,$K$10,L17,$W$10,W17,$P$10,P17))</f>
        <v>7.4116</v>
      </c>
      <c r="T17" s="170"/>
      <c r="U17" s="186" cm="1">
        <f t="array" ref="U17">IF(W17="",IF(T17="",_xll.BDP($B17,U$10,$S$10,$S17,$K$10,$L17,$M$10,$P17),_xll.BDP($B17,U$10,$S$10,$T17,$M$10,$Q17,$K$10,$L17)),"-")</f>
        <v>4190.9497769999998</v>
      </c>
      <c r="V17" s="163">
        <f>IF(W17="",U17,W17)</f>
        <v>4190.9497769999998</v>
      </c>
      <c r="W17" s="170"/>
      <c r="X17" s="187">
        <f t="shared" si="1"/>
        <v>92.705299956759717</v>
      </c>
      <c r="Y17" s="188">
        <f t="shared" si="2"/>
        <v>4520.7229564596337</v>
      </c>
      <c r="Z17" s="189" cm="1">
        <f t="array" ref="Z17">IF(W17&lt;&gt;"",_xll.BDP($B17,Z$10,$M$10,$P17,$K$10,$L17,$W$10,$W17),_xll.BDP($B17,Z$10,$S$10,$T17,$M$10,$P17,$K$10,$L17,$W$10,$W17))</f>
        <v>6.2798083622765217</v>
      </c>
      <c r="AA17" s="189" cm="1">
        <f t="array" ref="AA17">IF(W17&lt;&gt;"",_xll.BDP($B17,AA$10,$M$10,$P17,$K$10,$L17,$W$10,$W17),_xll.BDP($B17,AA$10,$S$10,$T17,$M$10,$P17,$K$10,$L17,$W$10,$W17))</f>
        <v>5.8464897330458161</v>
      </c>
      <c r="AB17" s="189" cm="1">
        <f t="array" ref="AB17">IF(W17&lt;&gt;"",_xll.BDP($B17,AB$10,$M$10,$P17,$K$10,$L17,$W$10,$W17),_xll.BDP($B17,AB$10,$S$10,$T17,$M$10,$P17,$K$10,$L17,$W$10,$W17))</f>
        <v>0.44778051112784972</v>
      </c>
      <c r="AC17" s="189" cm="1">
        <f t="array" ref="AC17">IF(W17&lt;&gt;"",_xll.BDP($B17,AC$10,$M$10,$P17,$K$10,$L17,$W$10,$W17),_xll.BDP($B17,AC$10,$S$10,$T17,$M$10,$P17,$K$10,$L17,$W$10,$W17))</f>
        <v>245.02318416098205</v>
      </c>
      <c r="AD17" s="190">
        <f>DATE(YEAR(_xll.BTODAY()),MONTH(_xll.BTODAY()),15)</f>
        <v>45823</v>
      </c>
      <c r="AE17" s="190" cm="1">
        <f t="array" ref="AE17">_xll.BADDPERIODS(AD17,"CDR=BZ")</f>
        <v>45824</v>
      </c>
      <c r="AF17" s="150">
        <f>_xll.BCOUNTPERIODS(AE17,M17,"CDR=BZ")</f>
        <v>4</v>
      </c>
      <c r="AG17" s="190">
        <f>DATE(YEAR(_xll.BTODAY()),MONTH(_xll.BTODAY())+1,15)</f>
        <v>45853</v>
      </c>
      <c r="AH17" s="190" cm="1">
        <f t="array" ref="AH17">_xll.BADDPERIODS(AG17,"CDR=BZ")</f>
        <v>45853</v>
      </c>
      <c r="AI17" s="150" cm="1">
        <f t="array" ref="AI17">_xll.BCOUNTPERIODS(AE17,AH17,"cdr=bz")</f>
        <v>20</v>
      </c>
      <c r="AJ17" s="189" cm="1">
        <f t="array" ref="AJ17">_xll.BDP($B17,AJ$10)</f>
        <v>1614.62</v>
      </c>
      <c r="AK17" s="189" cm="1">
        <f t="array" ref="AK17">_xll.BDP($B17,AK$10)</f>
        <v>7295.46</v>
      </c>
      <c r="AL17" s="191" cm="1">
        <f t="array" ref="AL17">_xll.BDP($B17,AL$10)</f>
        <v>0.26</v>
      </c>
      <c r="AM17" s="192">
        <f t="shared" si="4"/>
        <v>4.5207229564596334</v>
      </c>
      <c r="AN17" s="166" cm="1">
        <f t="array" ref="AN17">IF($B17="","",_xll.BDH($B17,AN$10,_xlfn.SINGLE(_xll.BTODAY())-1,_xlfn.SINGLE(_xll.BTODAY())-1,"pcs","TUNE"))</f>
        <v>7.6883999999999997</v>
      </c>
      <c r="AO17" s="193" cm="1">
        <f t="array" ref="AO17">IF($B17="","",_xll.BDH($B17,AO$10,_xlfn.SINGLE(_xll.BTODAY())-1,_xlfn.SINGLE(_xll.BTODAY())-1,"pcs","TUNE"))</f>
        <v>7.2431999999999999</v>
      </c>
    </row>
    <row r="18" spans="2:41" x14ac:dyDescent="0.25">
      <c r="B18" s="182" t="s">
        <v>386</v>
      </c>
      <c r="C18" s="150"/>
      <c r="D18" s="151" cm="1">
        <f t="array" ref="D18">_xll.BDP($B18,D$10)/100</f>
        <v>0.06</v>
      </c>
      <c r="E18" s="152" t="str" cm="1">
        <f t="array" ref="E18">_xll.BDP($B18,E$10)</f>
        <v>FIXED</v>
      </c>
      <c r="F18" s="153" cm="1">
        <f t="array" ref="F18">IF(E18="ZERO COUPON","",_xll.BDP($B18,F$10))</f>
        <v>2</v>
      </c>
      <c r="G18" s="154">
        <f>IF(OR(F18=0,E18="ZERO COUPON"),"",_xll.BDP($B18,G$10,$M$10,P18)*1)</f>
        <v>45792</v>
      </c>
      <c r="H18" s="154" cm="1">
        <f t="array" ref="H18">_xll.BDP($B18,H$10)*1</f>
        <v>49444</v>
      </c>
      <c r="I18" s="150" t="str" cm="1">
        <f t="array" ref="I18">_xll.BDP($B18,I$10)</f>
        <v>AT MATURITY</v>
      </c>
      <c r="J18" s="150" cm="1">
        <f t="array" ref="J18">_xll.BDP($B18,J$10)</f>
        <v>1000</v>
      </c>
      <c r="K18" s="150" t="str" cm="1">
        <f t="array" ref="K18">IF(B18="","",_xll.BDP($B18,K$10))</f>
        <v>ANDI</v>
      </c>
      <c r="L18" s="170"/>
      <c r="M18" s="183" cm="1">
        <f t="array" ref="M18">_xll.BDP($B18,M$10)*1</f>
        <v>45831</v>
      </c>
      <c r="N18" s="157">
        <f>IF(O18="",_xll.BADDPERIODS(M18,"CDR=BZ","Per=wd","NumberOfPeriods=-2"),_xll.BADDPERIODS(O18,"CDR=BZ","Per=wd","NumberOfPeriods=-2"))</f>
        <v>45826</v>
      </c>
      <c r="O18" s="170"/>
      <c r="P18" s="158" t="str">
        <f t="shared" si="0"/>
        <v>20250623</v>
      </c>
      <c r="Q18" s="159" t="str">
        <f>TEXT(YEAR(_xll.BADDPERIODS(N18,"CDR=BZ","Per=wd","NumberOfPeriods=2"))*10000+MONTH(_xll.BADDPERIODS(N18,"CDR=BZ","Per=wd","NumberOfPeriods=2"))*100+DAY(_xll.BADDPERIODS(N18,"CDR=BZ","Per=wd","NumberOfPeriods=2")),"00000000")</f>
        <v>20250623</v>
      </c>
      <c r="R18" s="184" cm="1">
        <f t="array" ref="R18">_xll.BDP($B18,$R$10,$M$10,P18)</f>
        <v>26.525195618879831</v>
      </c>
      <c r="S18" s="185" cm="1">
        <f t="array" ref="S18">IF(OR(UPPER(K18)="ANDE",UPPER(L18)="ANDE"),_xll.BDP($B18,$S$10,$K$10,L18,$W$10,W18,$P$10,Q18),_xll.BDP($B18,$S$10,$K$10,L18,$W$10,W18,$P$10,P18))</f>
        <v>7.2763</v>
      </c>
      <c r="T18" s="170"/>
      <c r="U18" s="186" cm="1">
        <f t="array" ref="U18">IF(W18="",IF(T18="",_xll.BDP($B18,U$10,$S$10,$S18,$K$10,$L18,$M$10,$P18),_xll.BDP($B18,U$10,$S$10,$T18,$M$10,$Q18,$K$10,$L18)),"-")</f>
        <v>4168.5450739999997</v>
      </c>
      <c r="V18" s="163">
        <f t="shared" si="3"/>
        <v>4168.5450739999997</v>
      </c>
      <c r="W18" s="170"/>
      <c r="X18" s="187">
        <f t="shared" si="1"/>
        <v>92.209699956145087</v>
      </c>
      <c r="Y18" s="188">
        <f t="shared" si="2"/>
        <v>4520.7229564596337</v>
      </c>
      <c r="Z18" s="189" cm="1">
        <f t="array" ref="Z18">IF(W18&lt;&gt;"",_xll.BDP($B18,Z$10,$M$10,$P18,$K$10,$L18,$W$10,$W18),_xll.BDP($B18,Z$10,$S$10,$T18,$M$10,$P18,$K$10,$L18,$W$10,$W18))</f>
        <v>7.422467882558232</v>
      </c>
      <c r="AA18" s="189" cm="1">
        <f t="array" ref="AA18">IF(W18&lt;&gt;"",_xll.BDP($B18,AA$10,$M$10,$P18,$K$10,$L18,$W$10,$W18),_xll.BDP($B18,AA$10,$S$10,$T18,$M$10,$P18,$K$10,$L18,$W$10,$W18))</f>
        <v>6.9190192778193662</v>
      </c>
      <c r="AB18" s="189" cm="1">
        <f t="array" ref="AB18">IF(W18&lt;&gt;"",_xll.BDP($B18,AB$10,$M$10,$P18,$K$10,$L18,$W$10,$W18),_xll.BDP($B18,AB$10,$S$10,$T18,$M$10,$P18,$K$10,$L18,$W$10,$W18))</f>
        <v>0.63541617370426484</v>
      </c>
      <c r="AC18" s="189" cm="1">
        <f t="array" ref="AC18">IF(W18&lt;&gt;"",_xll.BDP($B18,AC$10,$M$10,$P18,$K$10,$L18,$W$10,$W18),_xll.BDP($B18,AC$10,$S$10,$T18,$M$10,$P18,$K$10,$L18,$W$10,$W18))</f>
        <v>288.4221245290064</v>
      </c>
      <c r="AD18" s="190">
        <f>DATE(YEAR(_xll.BTODAY()),MONTH(_xll.BTODAY()),15)</f>
        <v>45823</v>
      </c>
      <c r="AE18" s="190" cm="1">
        <f t="array" ref="AE18">_xll.BADDPERIODS(AD18,"CDR=BZ")</f>
        <v>45824</v>
      </c>
      <c r="AF18" s="150" cm="1">
        <f t="array" ref="AF18">_xll.BCOUNTPERIODS(AE18,M18,"CDR=BZ")</f>
        <v>4</v>
      </c>
      <c r="AG18" s="190">
        <f>DATE(YEAR(_xll.BTODAY()),MONTH(_xll.BTODAY())+1,15)</f>
        <v>45853</v>
      </c>
      <c r="AH18" s="190" cm="1">
        <f t="array" ref="AH18">_xll.BADDPERIODS(AG18,"CDR=BZ")</f>
        <v>45853</v>
      </c>
      <c r="AI18" s="150" cm="1">
        <f t="array" ref="AI18">_xll.BCOUNTPERIODS(AE18,AH18,"cdr=bz")</f>
        <v>20</v>
      </c>
      <c r="AJ18" s="189" cm="1">
        <f t="array" ref="AJ18">_xll.BDP($B18,AJ$10)</f>
        <v>1614.62</v>
      </c>
      <c r="AK18" s="189" cm="1">
        <f t="array" ref="AK18">_xll.BDP($B18,AK$10)</f>
        <v>7295.46</v>
      </c>
      <c r="AL18" s="191" cm="1">
        <f t="array" ref="AL18">_xll.BDP($B18,AL$10)</f>
        <v>0.26</v>
      </c>
      <c r="AM18" s="192">
        <f t="shared" si="4"/>
        <v>4.5207229564596334</v>
      </c>
      <c r="AN18" s="166" cm="1">
        <f t="array" ref="AN18">IF($B18="","",_xll.BDH($B18,AN$10,_xlfn.SINGLE(_xll.BTODAY())-1,_xlfn.SINGLE(_xll.BTODAY())-1,"pcs","TUNE"))</f>
        <v>7.5570000000000004</v>
      </c>
      <c r="AO18" s="193" cm="1">
        <f t="array" ref="AO18">IF($B18="","",_xll.BDH($B18,AO$10,_xlfn.SINGLE(_xll.BTODAY())-1,_xlfn.SINGLE(_xll.BTODAY())-1,"pcs","TUNE"))</f>
        <v>7.1464999999999996</v>
      </c>
    </row>
    <row r="19" spans="2:41" x14ac:dyDescent="0.25">
      <c r="B19" s="182" t="s">
        <v>387</v>
      </c>
      <c r="C19" s="150"/>
      <c r="D19" s="151" cm="1">
        <f t="array" ref="D19">_xll.BDP($B19,D$10)/100</f>
        <v>0.06</v>
      </c>
      <c r="E19" s="152" t="str" cm="1">
        <f t="array" ref="E19">_xll.BDP($B19,E$10)</f>
        <v>FIXED</v>
      </c>
      <c r="F19" s="153" cm="1">
        <f t="array" ref="F19">IF(E19="ZERO COUPON","",_xll.BDP($B19,F$10))</f>
        <v>2</v>
      </c>
      <c r="G19" s="154">
        <f>IF(OR(F19=0,E19="ZERO COUPON"),"",_xll.BDP($B19,G$10,$M$10,P19)*1)</f>
        <v>45705</v>
      </c>
      <c r="H19" s="154" cm="1">
        <f t="array" ref="H19">_xll.BDP($B19,H$10)*1</f>
        <v>51363</v>
      </c>
      <c r="I19" s="150" t="str" cm="1">
        <f t="array" ref="I19">_xll.BDP($B19,I$10)</f>
        <v>AT MATURITY</v>
      </c>
      <c r="J19" s="150" cm="1">
        <f t="array" ref="J19">_xll.BDP($B19,J$10)</f>
        <v>1000</v>
      </c>
      <c r="K19" s="150" t="str" cm="1">
        <f t="array" ref="K19">IF(B19="","",_xll.BDP($B19,K$10))</f>
        <v>ANDI</v>
      </c>
      <c r="L19" s="170"/>
      <c r="M19" s="183" cm="1">
        <f t="array" ref="M19">_xll.BDP($B19,M$10)*1</f>
        <v>45831</v>
      </c>
      <c r="N19" s="157">
        <f>IF(O19="",_xll.BADDPERIODS(M19,"CDR=BZ","Per=wd","NumberOfPeriods=-2"),_xll.BADDPERIODS(O19,"CDR=BZ","Per=wd","NumberOfPeriods=-2"))</f>
        <v>45826</v>
      </c>
      <c r="O19" s="170"/>
      <c r="P19" s="158" t="str">
        <f t="shared" si="0"/>
        <v>20250623</v>
      </c>
      <c r="Q19" s="159" t="str">
        <f>TEXT(YEAR(_xll.BADDPERIODS(N19,"CDR=BZ","Per=wd","NumberOfPeriods=2"))*10000+MONTH(_xll.BADDPERIODS(N19,"CDR=BZ","Per=wd","NumberOfPeriods=2"))*100+DAY(_xll.BADDPERIODS(N19,"CDR=BZ","Per=wd","NumberOfPeriods=2")),"00000000")</f>
        <v>20250623</v>
      </c>
      <c r="R19" s="184" cm="1">
        <f t="array" ref="R19">_xll.BDP($B19,$R$10,$M$10,P19)</f>
        <v>91.270560534757252</v>
      </c>
      <c r="S19" s="185" cm="1">
        <f t="array" ref="S19">IF(OR(UPPER(K19)="ANDE",UPPER(L19)="ANDE"),_xll.BDP($B19,$S$10,$K$10,L19,$W$10,W19,$P$10,Q19),_xll.BDP($B19,$S$10,$K$10,L19,$W$10,W19,$P$10,P19))</f>
        <v>7.0926999999999998</v>
      </c>
      <c r="T19" s="170"/>
      <c r="U19" s="186" cm="1">
        <f t="array" ref="U19">IF(W19="",IF(T19="",_xll.BDP($B19,U$10,$S$10,$S19,$K$10,$L19,$M$10,$P19),_xll.BDP($B19,U$10,$S$10,$T19,$M$10,$Q19,$K$10,$L19)),"-")</f>
        <v>4184.6207649999997</v>
      </c>
      <c r="V19" s="163">
        <f t="shared" si="3"/>
        <v>4184.6207649999997</v>
      </c>
      <c r="W19" s="170"/>
      <c r="X19" s="187">
        <f t="shared" si="1"/>
        <v>92.565299959835414</v>
      </c>
      <c r="Y19" s="188">
        <f t="shared" si="2"/>
        <v>4520.7229564596337</v>
      </c>
      <c r="Z19" s="189" cm="1">
        <f t="array" ref="Z19">IF(W19&lt;&gt;"",_xll.BDP($B19,Z$10,$M$10,$P19,$K$10,$L19,$W$10,$W19),_xll.BDP($B19,Z$10,$S$10,$T19,$M$10,$P19,$K$10,$L19,$W$10,$W19))</f>
        <v>9.6604782263880402</v>
      </c>
      <c r="AA19" s="189" cm="1">
        <f t="array" ref="AA19">IF(W19&lt;&gt;"",_xll.BDP($B19,AA$10,$M$10,$P19,$K$10,$L19,$W$10,$W19),_xll.BDP($B19,AA$10,$S$10,$T19,$M$10,$P19,$K$10,$L19,$W$10,$W19))</f>
        <v>9.0206686746200777</v>
      </c>
      <c r="AB19" s="189" cm="1">
        <f t="array" ref="AB19">IF(W19&lt;&gt;"",_xll.BDP($B19,AB$10,$M$10,$P19,$K$10,$L19,$W$10,$W19),_xll.BDP($B19,AB$10,$S$10,$T19,$M$10,$P19,$K$10,$L19,$W$10,$W19))</f>
        <v>1.1580178787071573</v>
      </c>
      <c r="AC19" s="189" cm="1">
        <f t="array" ref="AC19">IF(W19&lt;&gt;"",_xll.BDP($B19,AC$10,$M$10,$P19,$K$10,$L19,$W$10,$W19),_xll.BDP($B19,AC$10,$S$10,$T19,$M$10,$P19,$K$10,$L19,$W$10,$W19))</f>
        <v>377.48036674247487</v>
      </c>
      <c r="AD19" s="190">
        <f>DATE(YEAR(_xll.BTODAY()),MONTH(_xll.BTODAY()),15)</f>
        <v>45823</v>
      </c>
      <c r="AE19" s="190" cm="1">
        <f t="array" ref="AE19">_xll.BADDPERIODS(AD19,"CDR=BZ")</f>
        <v>45824</v>
      </c>
      <c r="AF19" s="150" cm="1">
        <f t="array" ref="AF19">_xll.BCOUNTPERIODS(AE19,M19,"CDR=BZ")</f>
        <v>4</v>
      </c>
      <c r="AG19" s="190">
        <f>DATE(YEAR(_xll.BTODAY()),MONTH(_xll.BTODAY())+1,15)</f>
        <v>45853</v>
      </c>
      <c r="AH19" s="190" cm="1">
        <f t="array" ref="AH19">_xll.BADDPERIODS(AG19,"CDR=BZ")</f>
        <v>45853</v>
      </c>
      <c r="AI19" s="150" cm="1">
        <f t="array" ref="AI19">_xll.BCOUNTPERIODS(AE19,AH19,"cdr=bz")</f>
        <v>20</v>
      </c>
      <c r="AJ19" s="189" cm="1">
        <f t="array" ref="AJ19">_xll.BDP($B19,AJ$10)</f>
        <v>1614.62</v>
      </c>
      <c r="AK19" s="189" cm="1">
        <f t="array" ref="AK19">_xll.BDP($B19,AK$10)</f>
        <v>7295.46</v>
      </c>
      <c r="AL19" s="191" cm="1">
        <f t="array" ref="AL19">_xll.BDP($B19,AL$10)</f>
        <v>0.26</v>
      </c>
      <c r="AM19" s="192">
        <f t="shared" si="4"/>
        <v>4.5207229564596334</v>
      </c>
      <c r="AN19" s="166" cm="1">
        <f t="array" ref="AN19">IF($B19="","",_xll.BDH($B19,AN$10,_xlfn.SINGLE(_xll.BTODAY())-1,_xlfn.SINGLE(_xll.BTODAY())-1,"pcs","TUNE"))</f>
        <v>7.3391999999999999</v>
      </c>
      <c r="AO19" s="193" cm="1">
        <f t="array" ref="AO19">IF($B19="","",_xll.BDH($B19,AO$10,_xlfn.SINGLE(_xll.BTODAY())-1,_xlfn.SINGLE(_xll.BTODAY())-1,"pcs","TUNE"))</f>
        <v>7.0103</v>
      </c>
    </row>
    <row r="20" spans="2:41" x14ac:dyDescent="0.25">
      <c r="B20" s="182" t="s">
        <v>388</v>
      </c>
      <c r="C20" s="150"/>
      <c r="D20" s="151" cm="1">
        <f t="array" ref="D20">_xll.BDP($B20,D$10)/100</f>
        <v>0.06</v>
      </c>
      <c r="E20" s="152" t="str" cm="1">
        <f t="array" ref="E20">_xll.BDP($B20,E$10)</f>
        <v>FIXED</v>
      </c>
      <c r="F20" s="153" cm="1">
        <f t="array" ref="F20">IF(E20="ZERO COUPON","",_xll.BDP($B20,F$10))</f>
        <v>2</v>
      </c>
      <c r="G20" s="154">
        <f>IF(OR(F20=0,E20="ZERO COUPON"),"",_xll.BDP($B20,G$10,$M$10,P20)*1)</f>
        <v>45792</v>
      </c>
      <c r="H20" s="154" cm="1">
        <f t="array" ref="H20">_xll.BDP($B20,H$10)*1</f>
        <v>53097</v>
      </c>
      <c r="I20" s="150" t="str" cm="1">
        <f t="array" ref="I20">_xll.BDP($B20,I$10)</f>
        <v>AT MATURITY</v>
      </c>
      <c r="J20" s="150" cm="1">
        <f t="array" ref="J20">_xll.BDP($B20,J$10)</f>
        <v>1000</v>
      </c>
      <c r="K20" s="150" t="str" cm="1">
        <f t="array" ref="K20">IF(B20="","",_xll.BDP($B20,K$10))</f>
        <v>ANDI</v>
      </c>
      <c r="L20" s="170"/>
      <c r="M20" s="183" cm="1">
        <f t="array" ref="M20">_xll.BDP($B20,M$10)*1</f>
        <v>45831</v>
      </c>
      <c r="N20" s="157">
        <f>IF(O20="",_xll.BADDPERIODS(M20,"CDR=BZ","Per=wd","NumberOfPeriods=-2"),_xll.BADDPERIODS(O20,"CDR=BZ","Per=wd","NumberOfPeriods=-2"))</f>
        <v>45826</v>
      </c>
      <c r="O20" s="170"/>
      <c r="P20" s="158" t="str">
        <f t="shared" si="0"/>
        <v>20250623</v>
      </c>
      <c r="Q20" s="159" t="str">
        <f>TEXT(YEAR(_xll.BADDPERIODS(N20,"CDR=BZ","Per=wd","NumberOfPeriods=2"))*10000+MONTH(_xll.BADDPERIODS(N20,"CDR=BZ","Per=wd","NumberOfPeriods=2"))*100+DAY(_xll.BADDPERIODS(N20,"CDR=BZ","Per=wd","NumberOfPeriods=2")),"00000000")</f>
        <v>20250623</v>
      </c>
      <c r="R20" s="184" cm="1">
        <f t="array" ref="R20">_xll.BDP($B20,$R$10,$M$10,P20)</f>
        <v>26.525195618879831</v>
      </c>
      <c r="S20" s="185" cm="1">
        <f t="array" ref="S20">IF(OR(UPPER(K20)="ANDE",UPPER(L20)="ANDE"),_xll.BDP($B20,$S$10,$K$10,L20,$W$10,W20,$P$10,Q20),_xll.BDP($B20,$S$10,$K$10,L20,$W$10,W20,$P$10,P20))</f>
        <v>7.0618999999999996</v>
      </c>
      <c r="T20" s="170"/>
      <c r="U20" s="186" cm="1">
        <f t="array" ref="U20">IF(W20="",IF(T20="",_xll.BDP($B20,U$10,$S$10,$S20,$K$10,$L20,$M$10,$P20),_xll.BDP($B20,U$10,$S$10,$T20,$M$10,$Q20,$K$10,$L20)),"-")</f>
        <v>4067.4571879999999</v>
      </c>
      <c r="V20" s="163">
        <f t="shared" si="3"/>
        <v>4067.4571879999999</v>
      </c>
      <c r="W20" s="170"/>
      <c r="X20" s="187">
        <f t="shared" si="1"/>
        <v>89.973599956795297</v>
      </c>
      <c r="Y20" s="188">
        <f t="shared" si="2"/>
        <v>4520.7229564596337</v>
      </c>
      <c r="Z20" s="189" cm="1">
        <f t="array" ref="Z20">IF(W20&lt;&gt;"",_xll.BDP($B20,Z$10,$M$10,$P20,$K$10,$L20,$W$10,$W20),_xll.BDP($B20,Z$10,$S$10,$T20,$M$10,$P20,$K$10,$L20,$W$10,$W20))</f>
        <v>11.334042855989152</v>
      </c>
      <c r="AA20" s="189" cm="1">
        <f t="array" ref="AA20">IF(W20&lt;&gt;"",_xll.BDP($B20,AA$10,$M$10,$P20,$K$10,$L20,$W$10,$W20),_xll.BDP($B20,AA$10,$S$10,$T20,$M$10,$P20,$K$10,$L20,$W$10,$W20))</f>
        <v>10.586438688681985</v>
      </c>
      <c r="AB20" s="189" cm="1">
        <f t="array" ref="AB20">IF(W20&lt;&gt;"",_xll.BDP($B20,AB$10,$M$10,$P20,$K$10,$L20,$W$10,$W20),_xll.BDP($B20,AB$10,$S$10,$T20,$M$10,$P20,$K$10,$L20,$W$10,$W20))</f>
        <v>1.6583945460395015</v>
      </c>
      <c r="AC20" s="189" cm="1">
        <f t="array" ref="AC20">IF(W20&lt;&gt;"",_xll.BDP($B20,AC$10,$M$10,$P20,$K$10,$L20,$W$10,$W20),_xll.BDP($B20,AC$10,$S$10,$T20,$M$10,$P20,$K$10,$L20,$W$10,$W20))</f>
        <v>430.59886146374993</v>
      </c>
      <c r="AD20" s="190">
        <f>DATE(YEAR(_xll.BTODAY()),MONTH(_xll.BTODAY()),15)</f>
        <v>45823</v>
      </c>
      <c r="AE20" s="190" cm="1">
        <f t="array" ref="AE20">_xll.BADDPERIODS(AD20,"CDR=BZ")</f>
        <v>45824</v>
      </c>
      <c r="AF20" s="150" cm="1">
        <f t="array" ref="AF20">_xll.BCOUNTPERIODS(AE20,M20,"CDR=BZ")</f>
        <v>4</v>
      </c>
      <c r="AG20" s="190">
        <f>DATE(YEAR(_xll.BTODAY()),MONTH(_xll.BTODAY())+1,15)</f>
        <v>45853</v>
      </c>
      <c r="AH20" s="190" cm="1">
        <f t="array" ref="AH20">_xll.BADDPERIODS(AG20,"CDR=BZ")</f>
        <v>45853</v>
      </c>
      <c r="AI20" s="150" cm="1">
        <f t="array" ref="AI20">_xll.BCOUNTPERIODS(AE20,AH20,"cdr=bz")</f>
        <v>20</v>
      </c>
      <c r="AJ20" s="189" cm="1">
        <f t="array" ref="AJ20">_xll.BDP($B20,AJ$10)</f>
        <v>1614.62</v>
      </c>
      <c r="AK20" s="189" cm="1">
        <f t="array" ref="AK20">_xll.BDP($B20,AK$10)</f>
        <v>7295.46</v>
      </c>
      <c r="AL20" s="191" cm="1">
        <f t="array" ref="AL20">_xll.BDP($B20,AL$10)</f>
        <v>0.26</v>
      </c>
      <c r="AM20" s="192">
        <f t="shared" si="4"/>
        <v>4.5207229564596334</v>
      </c>
      <c r="AN20" s="166" cm="1">
        <f t="array" ref="AN20">IF($B20="","",_xll.BDH($B20,AN$10,_xlfn.SINGLE(_xll.BTODAY())-1,_xlfn.SINGLE(_xll.BTODAY())-1,"pcs","TUNE"))</f>
        <v>7.2927</v>
      </c>
      <c r="AO20" s="193" cm="1">
        <f t="array" ref="AO20">IF($B20="","",_xll.BDH($B20,AO$10,_xlfn.SINGLE(_xll.BTODAY())-1,_xlfn.SINGLE(_xll.BTODAY())-1,"pcs","TUNE"))</f>
        <v>6.9802</v>
      </c>
    </row>
    <row r="21" spans="2:41" x14ac:dyDescent="0.25">
      <c r="B21" s="182" t="s">
        <v>389</v>
      </c>
      <c r="C21" s="150"/>
      <c r="D21" s="151" cm="1">
        <f t="array" ref="D21">_xll.BDP($B21,D$10)/100</f>
        <v>0.06</v>
      </c>
      <c r="E21" s="152" t="str" cm="1">
        <f t="array" ref="E21">_xll.BDP($B21,E$10)</f>
        <v>FIXED</v>
      </c>
      <c r="F21" s="153" cm="1">
        <f t="array" ref="F21">IF(E21="ZERO COUPON","",_xll.BDP($B21,F$10))</f>
        <v>2</v>
      </c>
      <c r="G21" s="154">
        <f>IF(OR(F21=0,E21="ZERO COUPON"),"",_xll.BDP($B21,G$10,$M$10,P21)*1)</f>
        <v>45705</v>
      </c>
      <c r="H21" s="154" cm="1">
        <f t="array" ref="H21">_xll.BDP($B21,H$10)*1</f>
        <v>55015</v>
      </c>
      <c r="I21" s="150" t="str" cm="1">
        <f t="array" ref="I21">_xll.BDP($B21,I$10)</f>
        <v>AT MATURITY</v>
      </c>
      <c r="J21" s="150" cm="1">
        <f t="array" ref="J21">_xll.BDP($B21,J$10)</f>
        <v>1000</v>
      </c>
      <c r="K21" s="150" t="str" cm="1">
        <f t="array" ref="K21">IF(B21="","",_xll.BDP($B21,K$10))</f>
        <v>ANDI</v>
      </c>
      <c r="L21" s="170"/>
      <c r="M21" s="183" cm="1">
        <f t="array" ref="M21">_xll.BDP($B21,M$10)*1</f>
        <v>45831</v>
      </c>
      <c r="N21" s="157">
        <f>IF(O21="",_xll.BADDPERIODS(M21,"CDR=BZ","Per=wd","NumberOfPeriods=-2"),_xll.BADDPERIODS(O21,"CDR=BZ","Per=wd","NumberOfPeriods=-2"))</f>
        <v>45826</v>
      </c>
      <c r="O21" s="170"/>
      <c r="P21" s="158" t="str">
        <f t="shared" si="0"/>
        <v>20250623</v>
      </c>
      <c r="Q21" s="159" t="str">
        <f>TEXT(YEAR(_xll.BADDPERIODS(N21,"CDR=BZ","Per=wd","NumberOfPeriods=2"))*10000+MONTH(_xll.BADDPERIODS(N21,"CDR=BZ","Per=wd","NumberOfPeriods=2"))*100+DAY(_xll.BADDPERIODS(N21,"CDR=BZ","Per=wd","NumberOfPeriods=2")),"00000000")</f>
        <v>20250623</v>
      </c>
      <c r="R21" s="184" cm="1">
        <f t="array" ref="R21">_xll.BDP($B21,$R$10,$M$10,P21)</f>
        <v>91.270560534757252</v>
      </c>
      <c r="S21" s="185" cm="1">
        <f t="array" ref="S21">IF(OR(UPPER(K21)="ANDE",UPPER(L21)="ANDE"),_xll.BDP($B21,$S$10,$K$10,L21,$W$10,W21,$P$10,Q21),_xll.BDP($B21,$S$10,$K$10,L21,$W$10,W21,$P$10,P21))</f>
        <v>7.0133000000000001</v>
      </c>
      <c r="T21" s="170"/>
      <c r="U21" s="186" cm="1">
        <f t="array" ref="U21">IF(W21="",IF(T21="",_xll.BDP($B21,U$10,$S$10,$S21,$K$10,$L21,$M$10,$P21),_xll.BDP($B21,U$10,$S$10,$T21,$M$10,$Q21,$K$10,$L21)),"-")</f>
        <v>4106.1681390000003</v>
      </c>
      <c r="V21" s="163">
        <f t="shared" si="3"/>
        <v>4106.1681390000003</v>
      </c>
      <c r="W21" s="170"/>
      <c r="X21" s="187">
        <f t="shared" si="1"/>
        <v>90.829899963958667</v>
      </c>
      <c r="Y21" s="188">
        <f t="shared" si="2"/>
        <v>4520.7229564596337</v>
      </c>
      <c r="Z21" s="189" cm="1">
        <f t="array" ref="Z21">IF(W21&lt;&gt;"",_xll.BDP($B21,Z$10,$M$10,$P21,$K$10,$L21,$W$10,$W21),_xll.BDP($B21,Z$10,$S$10,$T21,$M$10,$P21,$K$10,$L21,$W$10,$W21))</f>
        <v>12.329577173171455</v>
      </c>
      <c r="AA21" s="189" cm="1">
        <f t="array" ref="AA21">IF(W21&lt;&gt;"",_xll.BDP($B21,AA$10,$M$10,$P21,$K$10,$L21,$W$10,$W21),_xll.BDP($B21,AA$10,$S$10,$T21,$M$10,$P21,$K$10,$L21,$W$10,$W21))</f>
        <v>11.52153641036753</v>
      </c>
      <c r="AB21" s="189" cm="1">
        <f t="array" ref="AB21">IF(W21&lt;&gt;"",_xll.BDP($B21,AB$10,$M$10,$P21,$K$10,$L21,$W$10,$W21),_xll.BDP($B21,AB$10,$S$10,$T21,$M$10,$P21,$K$10,$L21,$W$10,$W21))</f>
        <v>2.1143640380062156</v>
      </c>
      <c r="AC21" s="189" cm="1">
        <f t="array" ref="AC21">IF(W21&lt;&gt;"",_xll.BDP($B21,AC$10,$M$10,$P21,$K$10,$L21,$W$10,$W21),_xll.BDP($B21,AC$10,$S$10,$T21,$M$10,$P21,$K$10,$L21,$W$10,$W21))</f>
        <v>473.09365724076997</v>
      </c>
      <c r="AD21" s="190">
        <f>DATE(YEAR(_xll.BTODAY()),MONTH(_xll.BTODAY()),15)</f>
        <v>45823</v>
      </c>
      <c r="AE21" s="190" cm="1">
        <f t="array" ref="AE21">_xll.BADDPERIODS(AD21,"CDR=BZ")</f>
        <v>45824</v>
      </c>
      <c r="AF21" s="150" cm="1">
        <f t="array" ref="AF21">_xll.BCOUNTPERIODS(AE21,M21,"CDR=BZ")</f>
        <v>4</v>
      </c>
      <c r="AG21" s="190">
        <f>DATE(YEAR(_xll.BTODAY()),MONTH(_xll.BTODAY())+1,15)</f>
        <v>45853</v>
      </c>
      <c r="AH21" s="190" cm="1">
        <f t="array" ref="AH21">_xll.BADDPERIODS(AG21,"CDR=BZ")</f>
        <v>45853</v>
      </c>
      <c r="AI21" s="150" cm="1">
        <f t="array" ref="AI21">_xll.BCOUNTPERIODS(AE21,AH21,"cdr=bz")</f>
        <v>20</v>
      </c>
      <c r="AJ21" s="189" cm="1">
        <f t="array" ref="AJ21">_xll.BDP($B21,AJ$10)</f>
        <v>1614.62</v>
      </c>
      <c r="AK21" s="189" cm="1">
        <f t="array" ref="AK21">_xll.BDP($B21,AK$10)</f>
        <v>7295.46</v>
      </c>
      <c r="AL21" s="191" cm="1">
        <f t="array" ref="AL21">_xll.BDP($B21,AL$10)</f>
        <v>0.26</v>
      </c>
      <c r="AM21" s="192">
        <f t="shared" si="4"/>
        <v>4.5207229564596334</v>
      </c>
      <c r="AN21" s="166" cm="1">
        <f t="array" ref="AN21">IF($B21="","",_xll.BDH($B21,AN$10,_xlfn.SINGLE(_xll.BTODAY())-1,_xlfn.SINGLE(_xll.BTODAY())-1,"pcs","TUNE"))</f>
        <v>7.2582000000000004</v>
      </c>
      <c r="AO21" s="193" cm="1">
        <f t="array" ref="AO21">IF($B21="","",_xll.BDH($B21,AO$10,_xlfn.SINGLE(_xll.BTODAY())-1,_xlfn.SINGLE(_xll.BTODAY())-1,"pcs","TUNE"))</f>
        <v>6.9497</v>
      </c>
    </row>
    <row r="22" spans="2:41" x14ac:dyDescent="0.25">
      <c r="B22" s="182" t="s">
        <v>390</v>
      </c>
      <c r="C22" s="150"/>
      <c r="D22" s="151" cm="1">
        <f t="array" ref="D22">_xll.BDP($B22,D$10)/100</f>
        <v>0.06</v>
      </c>
      <c r="E22" s="152" t="str" cm="1">
        <f t="array" ref="E22">_xll.BDP($B22,E$10)</f>
        <v>FIXED</v>
      </c>
      <c r="F22" s="153" cm="1">
        <f t="array" ref="F22">IF(E22="ZERO COUPON","",_xll.BDP($B22,F$10))</f>
        <v>2</v>
      </c>
      <c r="G22" s="154">
        <f>IF(OR(F22=0,E22="ZERO COUPON"),"",_xll.BDP($B22,G$10,$M$10,P22)*1)</f>
        <v>45792</v>
      </c>
      <c r="H22" s="154" cm="1">
        <f t="array" ref="H22">_xll.BDP($B22,H$10)*1</f>
        <v>56749</v>
      </c>
      <c r="I22" s="150" t="str" cm="1">
        <f t="array" ref="I22">_xll.BDP($B22,I$10)</f>
        <v>AT MATURITY</v>
      </c>
      <c r="J22" s="150" cm="1">
        <f t="array" ref="J22">_xll.BDP($B22,J$10)</f>
        <v>1000</v>
      </c>
      <c r="K22" s="150" t="str" cm="1">
        <f t="array" ref="K22">IF(B22="","",_xll.BDP($B22,K$10))</f>
        <v>ANDI</v>
      </c>
      <c r="L22" s="170"/>
      <c r="M22" s="183" cm="1">
        <f t="array" ref="M22">_xll.BDP($B22,M$10)*1</f>
        <v>45831</v>
      </c>
      <c r="N22" s="157">
        <f>IF(O22="",_xll.BADDPERIODS(M22,"CDR=BZ","Per=wd","NumberOfPeriods=-2"),_xll.BADDPERIODS(O22,"CDR=BZ","Per=wd","NumberOfPeriods=-2"))</f>
        <v>45826</v>
      </c>
      <c r="O22" s="170"/>
      <c r="P22" s="158" t="str">
        <f t="shared" si="0"/>
        <v>20250623</v>
      </c>
      <c r="Q22" s="159" t="str">
        <f>TEXT(YEAR(_xll.BADDPERIODS(N22,"CDR=BZ","Per=wd","NumberOfPeriods=2"))*10000+MONTH(_xll.BADDPERIODS(N22,"CDR=BZ","Per=wd","NumberOfPeriods=2"))*100+DAY(_xll.BADDPERIODS(N22,"CDR=BZ","Per=wd","NumberOfPeriods=2")),"00000000")</f>
        <v>20250623</v>
      </c>
      <c r="R22" s="184" cm="1">
        <f t="array" ref="R22">_xll.BDP($B22,$R$10,$M$10,P22)</f>
        <v>26.525195618879831</v>
      </c>
      <c r="S22" s="185" cm="1">
        <f t="array" ref="S22">IF(OR(UPPER(K22)="ANDE",UPPER(L22)="ANDE"),_xll.BDP($B22,$S$10,$K$10,L22,$W$10,W22,$P$10,Q22),_xll.BDP($B22,$S$10,$K$10,L22,$W$10,W22,$P$10,P22))</f>
        <v>6.9794</v>
      </c>
      <c r="T22" s="170"/>
      <c r="U22" s="186" cm="1">
        <f t="array" ref="U22">IF(W22="",IF(T22="",_xll.BDP($B22,U$10,$S$10,$S22,$K$10,$L22,$M$10,$P22),_xll.BDP($B22,U$10,$S$10,$T22,$M$10,$Q22,$K$10,$L22)),"-")</f>
        <v>4026.0066790000001</v>
      </c>
      <c r="V22" s="163">
        <f t="shared" si="3"/>
        <v>4026.0066790000001</v>
      </c>
      <c r="W22" s="170"/>
      <c r="X22" s="187">
        <f t="shared" si="1"/>
        <v>89.056699952100885</v>
      </c>
      <c r="Y22" s="188">
        <f t="shared" si="2"/>
        <v>4520.7229564596337</v>
      </c>
      <c r="Z22" s="189" cm="1">
        <f t="array" ref="Z22">IF(W22&lt;&gt;"",_xll.BDP($B22,Z$10,$M$10,$P22,$K$10,$L22,$W$10,$W22),_xll.BDP($B22,Z$10,$S$10,$T22,$M$10,$P22,$K$10,$L22,$W$10,$W22))</f>
        <v>13.297857686212383</v>
      </c>
      <c r="AA22" s="189" cm="1">
        <f t="array" ref="AA22">IF(W22&lt;&gt;"",_xll.BDP($B22,AA$10,$M$10,$P22,$K$10,$L22,$W$10,$W22),_xll.BDP($B22,AA$10,$S$10,$T22,$M$10,$P22,$K$10,$L22,$W$10,$W22))</f>
        <v>12.430297136877302</v>
      </c>
      <c r="AB22" s="189" cm="1">
        <f t="array" ref="AB22">IF(W22&lt;&gt;"",_xll.BDP($B22,AB$10,$M$10,$P22,$K$10,$L22,$W$10,$W22),_xll.BDP($B22,AB$10,$S$10,$T22,$M$10,$P22,$K$10,$L22,$W$10,$W22))</f>
        <v>2.5347835084509125</v>
      </c>
      <c r="AC22" s="189" cm="1">
        <f t="array" ref="AC22">IF(W22&lt;&gt;"",_xll.BDP($B22,AC$10,$M$10,$P22,$K$10,$L22,$W$10,$W22),_xll.BDP($B22,AC$10,$S$10,$T22,$M$10,$P22,$K$10,$L22,$W$10,$W22))</f>
        <v>500.44403111851352</v>
      </c>
      <c r="AD22" s="190">
        <f>DATE(YEAR(_xll.BTODAY()),MONTH(_xll.BTODAY()),15)</f>
        <v>45823</v>
      </c>
      <c r="AE22" s="190" cm="1">
        <f t="array" ref="AE22">_xll.BADDPERIODS(AD22,"CDR=BZ")</f>
        <v>45824</v>
      </c>
      <c r="AF22" s="150">
        <f>_xll.BCOUNTPERIODS(AE22,M22,"CDR=BZ")</f>
        <v>4</v>
      </c>
      <c r="AG22" s="190">
        <f>DATE(YEAR(_xll.BTODAY()),MONTH(_xll.BTODAY())+1,15)</f>
        <v>45853</v>
      </c>
      <c r="AH22" s="190" cm="1">
        <f t="array" ref="AH22">_xll.BADDPERIODS(AG22,"CDR=BZ")</f>
        <v>45853</v>
      </c>
      <c r="AI22" s="150" cm="1">
        <f t="array" ref="AI22">_xll.BCOUNTPERIODS(AE22,AH22,"cdr=bz")</f>
        <v>20</v>
      </c>
      <c r="AJ22" s="189" cm="1">
        <f t="array" ref="AJ22">_xll.BDP($B22,AJ$10)</f>
        <v>1614.62</v>
      </c>
      <c r="AK22" s="189" cm="1">
        <f t="array" ref="AK22">_xll.BDP($B22,AK$10)</f>
        <v>7295.46</v>
      </c>
      <c r="AL22" s="191" cm="1">
        <f t="array" ref="AL22">_xll.BDP($B22,AL$10)</f>
        <v>0.26</v>
      </c>
      <c r="AM22" s="192">
        <f t="shared" si="4"/>
        <v>4.5207229564596334</v>
      </c>
      <c r="AN22" s="166" cm="1">
        <f t="array" ref="AN22">IF($B22="","",_xll.BDH($B22,AN$10,_xlfn.SINGLE(_xll.BTODAY())-1,_xlfn.SINGLE(_xll.BTODAY())-1,"pcs","TUNE"))</f>
        <v>7.2206000000000001</v>
      </c>
      <c r="AO22" s="193" cm="1">
        <f t="array" ref="AO22">IF($B22="","",_xll.BDH($B22,AO$10,_xlfn.SINGLE(_xll.BTODAY())-1,_xlfn.SINGLE(_xll.BTODAY())-1,"pcs","TUNE"))</f>
        <v>6.9116999999999997</v>
      </c>
    </row>
    <row r="23" spans="2:41" x14ac:dyDescent="0.25">
      <c r="B23" s="182" t="s">
        <v>400</v>
      </c>
      <c r="C23" s="150"/>
      <c r="D23" s="151" cm="1">
        <f t="array" ref="D23">_xll.BDP($B23,D$10)/100</f>
        <v>0.06</v>
      </c>
      <c r="E23" s="152" t="str" cm="1">
        <f t="array" ref="E23">_xll.BDP($B23,E$10)</f>
        <v>FIXED</v>
      </c>
      <c r="F23" s="153" cm="1">
        <f t="array" ref="F23">IF(E23="ZERO COUPON","",_xll.BDP($B23,F$10))</f>
        <v>2</v>
      </c>
      <c r="G23" s="154">
        <f>IF(OR(F23=0,E23="ZERO COUPON"),"",_xll.BDP($B23,G$10,$M$10,P23)*1)</f>
        <v>45705</v>
      </c>
      <c r="H23" s="154" cm="1">
        <f t="array" ref="H23">_xll.BDP($B23,H$10)*1</f>
        <v>58668</v>
      </c>
      <c r="I23" s="150" t="str" cm="1">
        <f t="array" ref="I23">_xll.BDP($B23,I$10)</f>
        <v>AT MATURITY</v>
      </c>
      <c r="J23" s="150" cm="1">
        <f t="array" ref="J23">_xll.BDP($B23,J$10)</f>
        <v>1000</v>
      </c>
      <c r="K23" s="150" t="str" cm="1">
        <f t="array" ref="K23">IF(B23="","",_xll.BDP($B23,K$10))</f>
        <v>ANDI</v>
      </c>
      <c r="L23" s="170"/>
      <c r="M23" s="183" cm="1">
        <f t="array" ref="M23">_xll.BDP($B23,M$10)*1</f>
        <v>45831</v>
      </c>
      <c r="N23" s="157">
        <f>IF(O23="",_xll.BADDPERIODS(M23,"CDR=BZ","Per=wd","NumberOfPeriods=-2"),_xll.BADDPERIODS(O23,"CDR=BZ","Per=wd","NumberOfPeriods=-2"))</f>
        <v>45826</v>
      </c>
      <c r="O23" s="170"/>
      <c r="P23" s="158" t="str">
        <f t="shared" si="0"/>
        <v>20250623</v>
      </c>
      <c r="Q23" s="159" t="str">
        <f>TEXT(YEAR(_xll.BADDPERIODS(N23,"CDR=BZ","Per=wd","NumberOfPeriods=2"))*10000+MONTH(_xll.BADDPERIODS(N23,"CDR=BZ","Per=wd","NumberOfPeriods=2"))*100+DAY(_xll.BADDPERIODS(N23,"CDR=BZ","Per=wd","NumberOfPeriods=2")),"00000000")</f>
        <v>20250623</v>
      </c>
      <c r="R23" s="184" cm="1">
        <f t="array" ref="R23">_xll.BDP($B23,$R$10,$M$10,P23)</f>
        <v>91.270560534757252</v>
      </c>
      <c r="S23" s="185" cm="1">
        <f t="array" ref="S23">IF(OR(UPPER(K23)="ANDE",UPPER(L23)="ANDE"),_xll.BDP($B23,$S$10,$K$10,L23,$W$10,W23,$P$10,Q23),_xll.BDP($B23,$S$10,$K$10,L23,$W$10,W23,$P$10,P23))</f>
        <v>6.9878999999999998</v>
      </c>
      <c r="T23" s="170"/>
      <c r="U23" s="186" cm="1">
        <f t="array" ref="U23">IF(W23="",IF(T23="",_xll.BDP($B23,U$10,$S$10,$S23,$K$10,$L23,$M$10,$P23),_xll.BDP($B23,U$10,$S$10,$T23,$M$10,$Q23,$K$10,$L23)),"-")</f>
        <v>4063.2709989999998</v>
      </c>
      <c r="V23" s="163">
        <f t="shared" si="3"/>
        <v>4063.2709989999998</v>
      </c>
      <c r="W23" s="170"/>
      <c r="X23" s="187">
        <f t="shared" si="1"/>
        <v>89.880999966919376</v>
      </c>
      <c r="Y23" s="188">
        <f t="shared" si="2"/>
        <v>4520.7229564596337</v>
      </c>
      <c r="Z23" s="189" cm="1">
        <f t="array" ref="Z23">IF(W23&lt;&gt;"",_xll.BDP($B23,Z$10,$M$10,$P23,$K$10,$L23,$W$10,$W23),_xll.BDP($B23,Z$10,$S$10,$T23,$M$10,$P23,$K$10,$L23,$W$10,$W23))</f>
        <v>13.629275399766748</v>
      </c>
      <c r="AA23" s="189" cm="1">
        <f t="array" ref="AA23">IF(W23&lt;&gt;"",_xll.BDP($B23,AA$10,$M$10,$P23,$K$10,$L23,$W$10,$W23),_xll.BDP($B23,AA$10,$S$10,$T23,$M$10,$P23,$K$10,$L23,$W$10,$W23))</f>
        <v>12.739080271781953</v>
      </c>
      <c r="AB23" s="189" cm="1">
        <f t="array" ref="AB23">IF(W23&lt;&gt;"",_xll.BDP($B23,AB$10,$M$10,$P23,$K$10,$L23,$W$10,$W23),_xll.BDP($B23,AB$10,$S$10,$T23,$M$10,$P23,$K$10,$L23,$W$10,$W23))</f>
        <v>2.8315774055767968</v>
      </c>
      <c r="AC23" s="189" cm="1">
        <f t="array" ref="AC23">IF(W23&lt;&gt;"",_xll.BDP($B23,AC$10,$M$10,$P23,$K$10,$L23,$W$10,$W23),_xll.BDP($B23,AC$10,$S$10,$T23,$M$10,$P23,$K$10,$L23,$W$10,$W23))</f>
        <v>517.62277834750421</v>
      </c>
      <c r="AD23" s="190">
        <f>DATE(YEAR(_xll.BTODAY()),MONTH(_xll.BTODAY()),15)</f>
        <v>45823</v>
      </c>
      <c r="AE23" s="190" cm="1">
        <f t="array" ref="AE23">_xll.BADDPERIODS(AD23,"CDR=BZ")</f>
        <v>45824</v>
      </c>
      <c r="AF23" s="150">
        <f>_xll.BCOUNTPERIODS(AE23,M23,"CDR=BZ")</f>
        <v>4</v>
      </c>
      <c r="AG23" s="190">
        <f>DATE(YEAR(_xll.BTODAY()),MONTH(_xll.BTODAY())+1,15)</f>
        <v>45853</v>
      </c>
      <c r="AH23" s="190" cm="1">
        <f t="array" ref="AH23">_xll.BADDPERIODS(AG23,"CDR=BZ")</f>
        <v>45853</v>
      </c>
      <c r="AI23" s="150" cm="1">
        <f t="array" ref="AI23">_xll.BCOUNTPERIODS(AE23,AH23,"cdr=bz")</f>
        <v>20</v>
      </c>
      <c r="AJ23" s="189" cm="1">
        <f t="array" ref="AJ23">_xll.BDP($B23,AJ$10)</f>
        <v>1614.62</v>
      </c>
      <c r="AK23" s="189" cm="1">
        <f t="array" ref="AK23">_xll.BDP($B23,AK$10)</f>
        <v>7295.46</v>
      </c>
      <c r="AL23" s="191" cm="1">
        <f t="array" ref="AL23">_xll.BDP($B23,AL$10)</f>
        <v>0.26</v>
      </c>
      <c r="AM23" s="192">
        <f t="shared" si="4"/>
        <v>4.5207229564596334</v>
      </c>
      <c r="AN23" s="166" cm="1">
        <f t="array" ref="AN23">IF($B23="","",_xll.BDH($B23,AN$10,_xlfn.SINGLE(_xll.BTODAY())-1,_xlfn.SINGLE(_xll.BTODAY())-1,"pcs","TUNE"))</f>
        <v>7.2401999999999997</v>
      </c>
      <c r="AO23" s="193" cm="1">
        <f t="array" ref="AO23">IF($B23="","",_xll.BDH($B23,AO$10,_xlfn.SINGLE(_xll.BTODAY())-1,_xlfn.SINGLE(_xll.BTODAY())-1,"pcs","TUNE"))</f>
        <v>6.9306999999999999</v>
      </c>
    </row>
    <row r="24" spans="2:41" x14ac:dyDescent="0.25">
      <c r="B24" s="182"/>
      <c r="C24" s="150"/>
      <c r="D24" s="151" t="e" cm="1">
        <f t="array" ref="D24">_xll.BDP($B24,D$10)/100</f>
        <v>#VALUE!</v>
      </c>
      <c r="E24" s="152" t="str" cm="1">
        <f t="array" ref="E24">_xll.BDP($B24,E$10)</f>
        <v>#N/A Mandatory parameter [SECURITY] cannot be empty</v>
      </c>
      <c r="F24" s="153" t="str" cm="1">
        <f t="array" ref="F24">IF(E24="ZERO COUPON","",_xll.BDP($B24,F$10))</f>
        <v>#N/A Mandatory parameter [SECURITY] cannot be empty</v>
      </c>
      <c r="G24" s="154" t="e">
        <f>IF(OR(F24=0,E24="ZERO COUPON"),"",_xll.BDP($B24,G$10,$M$10,P24)*1)</f>
        <v>#VALUE!</v>
      </c>
      <c r="H24" s="154" t="e" cm="1">
        <f t="array" ref="H24">_xll.BDP($B24,H$10)*1</f>
        <v>#VALUE!</v>
      </c>
      <c r="I24" s="150" t="str" cm="1">
        <f t="array" ref="I24">_xll.BDP($B24,I$10)</f>
        <v>#N/A Mandatory parameter [SECURITY] cannot be empty</v>
      </c>
      <c r="J24" s="150" t="str" cm="1">
        <f t="array" ref="J24">_xll.BDP($B24,J$10)</f>
        <v>#N/A Mandatory parameter [SECURITY] cannot be empty</v>
      </c>
      <c r="K24" s="150" t="str" cm="1">
        <f t="array" ref="K24">IF(B24="","",_xll.BDP($B24,K$10))</f>
        <v/>
      </c>
      <c r="L24" s="170"/>
      <c r="M24" s="183" t="e" cm="1">
        <f t="array" ref="M24">_xll.BDP($B24,M$10)*1</f>
        <v>#VALUE!</v>
      </c>
      <c r="N24" s="157" t="e">
        <f>IF(O24="",_xll.BADDPERIODS(M24,"CDR=BZ","Per=wd","NumberOfPeriods=-2"),_xll.BADDPERIODS(O24,"CDR=BZ","Per=wd","NumberOfPeriods=-2"))</f>
        <v>#VALUE!</v>
      </c>
      <c r="O24" s="170"/>
      <c r="P24" s="158" t="e">
        <f t="shared" si="0"/>
        <v>#VALUE!</v>
      </c>
      <c r="Q24" s="159" t="e">
        <f>TEXT(YEAR(_xll.BADDPERIODS(N24,"CDR=BZ","Per=wd","NumberOfPeriods=2"))*10000+MONTH(_xll.BADDPERIODS(N24,"CDR=BZ","Per=wd","NumberOfPeriods=2"))*100+DAY(_xll.BADDPERIODS(N24,"CDR=BZ","Per=wd","NumberOfPeriods=2")),"00000000")</f>
        <v>#VALUE!</v>
      </c>
      <c r="R24" s="184" t="e">
        <f>_xll.BDP($B24,$R$10,$M$10,P24)</f>
        <v>#VALUE!</v>
      </c>
      <c r="S24" s="185" t="e">
        <f>IF(OR(UPPER(K24)="ANDE",UPPER(L24)="ANDE"),_xll.BDP($B24,$S$10,$K$10,L24,$W$10,W24,$P$10,Q24),_xll.BDP($B24,$S$10,$K$10,L24,$W$10,W24,$P$10,P24))</f>
        <v>#VALUE!</v>
      </c>
      <c r="T24" s="170"/>
      <c r="U24" s="186" t="e">
        <f>IF(W24="",IF(T24="",_xll.BDP($B24,U$10,$S$10,$S24,$K$10,$L24,$M$10,$P24),_xll.BDP($B24,U$10,$S$10,$T24,$M$10,$Q24,$K$10,$L24)),"-")</f>
        <v>#VALUE!</v>
      </c>
      <c r="V24" s="163" t="e">
        <f t="shared" si="3"/>
        <v>#VALUE!</v>
      </c>
      <c r="W24" s="170"/>
      <c r="X24" s="187" t="e">
        <f t="shared" si="1"/>
        <v>#VALUE!</v>
      </c>
      <c r="Y24" s="188" t="e">
        <f t="shared" si="2"/>
        <v>#VALUE!</v>
      </c>
      <c r="Z24" s="189" t="e">
        <f>IF(W24&lt;&gt;"",_xll.BDP($B24,Z$10,$M$10,$P24,$K$10,$L24,$W$10,$W24),_xll.BDP($B24,Z$10,$S$10,$T24,$M$10,$P24,$K$10,$L24,$W$10,$W24))</f>
        <v>#VALUE!</v>
      </c>
      <c r="AA24" s="189" t="e">
        <f>IF(W24&lt;&gt;"",_xll.BDP($B24,AA$10,$M$10,$P24,$K$10,$L24,$W$10,$W24),_xll.BDP($B24,AA$10,$S$10,$T24,$M$10,$P24,$K$10,$L24,$W$10,$W24))</f>
        <v>#VALUE!</v>
      </c>
      <c r="AB24" s="189" t="e">
        <f>IF(W24&lt;&gt;"",_xll.BDP($B24,AB$10,$M$10,$P24,$K$10,$L24,$W$10,$W24),_xll.BDP($B24,AB$10,$S$10,$T24,$M$10,$P24,$K$10,$L24,$W$10,$W24))</f>
        <v>#VALUE!</v>
      </c>
      <c r="AC24" s="189" t="e">
        <f>IF(W24&lt;&gt;"",_xll.BDP($B24,AC$10,$M$10,$P24,$K$10,$L24,$W$10,$W24),_xll.BDP($B24,AC$10,$S$10,$T24,$M$10,$P24,$K$10,$L24,$W$10,$W24))</f>
        <v>#VALUE!</v>
      </c>
      <c r="AD24" s="190">
        <f>DATE(YEAR(_xll.BTODAY()),MONTH(_xll.BTODAY()),15)</f>
        <v>45823</v>
      </c>
      <c r="AE24" s="190" cm="1">
        <f t="array" ref="AE24">_xll.BADDPERIODS(AD24,"CDR=BZ")</f>
        <v>45824</v>
      </c>
      <c r="AF24" s="150" t="e">
        <f>_xll.BCOUNTPERIODS(AE24,M24,"CDR=BZ")</f>
        <v>#VALUE!</v>
      </c>
      <c r="AG24" s="190">
        <f>DATE(YEAR(_xll.BTODAY()),MONTH(_xll.BTODAY())+1,15)</f>
        <v>45853</v>
      </c>
      <c r="AH24" s="190" cm="1">
        <f t="array" ref="AH24">_xll.BADDPERIODS(AG24,"CDR=BZ")</f>
        <v>45853</v>
      </c>
      <c r="AI24" s="150" cm="1">
        <f t="array" ref="AI24">_xll.BCOUNTPERIODS(AE24,AH24,"cdr=bz")</f>
        <v>20</v>
      </c>
      <c r="AJ24" s="189" t="str" cm="1">
        <f t="array" ref="AJ24">_xll.BDP($B24,AJ$10)</f>
        <v>#N/A Mandatory parameter [SECURITY] cannot be empty</v>
      </c>
      <c r="AK24" s="189" t="str" cm="1">
        <f t="array" ref="AK24">_xll.BDP($B24,AK$10)</f>
        <v>#N/A Mandatory parameter [SECURITY] cannot be empty</v>
      </c>
      <c r="AL24" s="191" t="str" cm="1">
        <f t="array" ref="AL24">_xll.BDP($B24,AL$10)</f>
        <v>#N/A Mandatory parameter [SECURITY] cannot be empty</v>
      </c>
      <c r="AM24" s="192" t="e">
        <f t="shared" si="4"/>
        <v>#VALUE!</v>
      </c>
      <c r="AN24" s="166" t="str" cm="1">
        <f t="array" ref="AN24">IF($B24="","",_xll.BDH($B24,AN$10,_xlfn.SINGLE(_xll.BTODAY())-1,_xlfn.SINGLE(_xll.BTODAY())-1,"pcs","TUNE"))</f>
        <v/>
      </c>
      <c r="AO24" s="193" t="str" cm="1">
        <f t="array" ref="AO24">IF($B24="","",_xll.BDH($B24,AO$10,_xlfn.SINGLE(_xll.BTODAY())-1,_xlfn.SINGLE(_xll.BTODAY())-1,"pcs","TUNE"))</f>
        <v/>
      </c>
    </row>
    <row r="25" spans="2:41" x14ac:dyDescent="0.25">
      <c r="B25" s="182"/>
      <c r="C25" s="150"/>
      <c r="D25" s="151" t="e" cm="1">
        <f t="array" ref="D25">_xll.BDP($B25,D$10)/100</f>
        <v>#VALUE!</v>
      </c>
      <c r="E25" s="152" t="str" cm="1">
        <f t="array" ref="E25">_xll.BDP($B25,E$10)</f>
        <v>#N/A Mandatory parameter [SECURITY] cannot be empty</v>
      </c>
      <c r="F25" s="153" t="str" cm="1">
        <f t="array" ref="F25">IF(E25="ZERO COUPON","",_xll.BDP($B25,F$10))</f>
        <v>#N/A Mandatory parameter [SECURITY] cannot be empty</v>
      </c>
      <c r="G25" s="154" t="e">
        <f>IF(OR(F25=0,E25="ZERO COUPON"),"",_xll.BDP($B25,G$10,$M$10,P25)*1)</f>
        <v>#VALUE!</v>
      </c>
      <c r="H25" s="154" t="e" cm="1">
        <f t="array" ref="H25">_xll.BDP($B25,H$10)*1</f>
        <v>#VALUE!</v>
      </c>
      <c r="I25" s="150" t="str" cm="1">
        <f t="array" ref="I25">_xll.BDP($B25,I$10)</f>
        <v>#N/A Mandatory parameter [SECURITY] cannot be empty</v>
      </c>
      <c r="J25" s="150" t="str" cm="1">
        <f t="array" ref="J25">_xll.BDP($B25,J$10)</f>
        <v>#N/A Mandatory parameter [SECURITY] cannot be empty</v>
      </c>
      <c r="K25" s="150" t="str" cm="1">
        <f t="array" ref="K25">IF(B25="","",_xll.BDP($B25,K$10))</f>
        <v/>
      </c>
      <c r="L25" s="170"/>
      <c r="M25" s="183" t="e" cm="1">
        <f t="array" ref="M25">_xll.BDP($B25,M$10)*1</f>
        <v>#VALUE!</v>
      </c>
      <c r="N25" s="157" t="e">
        <f>IF(O25="",_xll.BADDPERIODS(M25,"CDR=BZ","Per=wd","NumberOfPeriods=-2"),_xll.BADDPERIODS(O25,"CDR=BZ","Per=wd","NumberOfPeriods=-2"))</f>
        <v>#VALUE!</v>
      </c>
      <c r="O25" s="170"/>
      <c r="P25" s="158" t="e">
        <f t="shared" si="0"/>
        <v>#VALUE!</v>
      </c>
      <c r="Q25" s="159" t="e">
        <f>TEXT(YEAR(_xll.BADDPERIODS(N25,"CDR=BZ","Per=wd","NumberOfPeriods=2"))*10000+MONTH(_xll.BADDPERIODS(N25,"CDR=BZ","Per=wd","NumberOfPeriods=2"))*100+DAY(_xll.BADDPERIODS(N25,"CDR=BZ","Per=wd","NumberOfPeriods=2")),"00000000")</f>
        <v>#VALUE!</v>
      </c>
      <c r="R25" s="184" t="e">
        <f>_xll.BDP($B25,$R$10,$M$10,P25)</f>
        <v>#VALUE!</v>
      </c>
      <c r="S25" s="185" t="e">
        <f>IF(OR(UPPER(K25)="ANDE",UPPER(L25)="ANDE"),_xll.BDP($B25,$S$10,$K$10,L25,$W$10,W25,$P$10,Q25),_xll.BDP($B25,$S$10,$K$10,L25,$W$10,W25,$P$10,P25))</f>
        <v>#VALUE!</v>
      </c>
      <c r="T25" s="170"/>
      <c r="U25" s="186" t="e">
        <f>IF(W25="",IF(T25="",_xll.BDP($B25,U$10,$S$10,$S25,$K$10,$L25,$M$10,$P25),_xll.BDP($B25,U$10,$S$10,$T25,$M$10,$Q25,$K$10,$L25)),"-")</f>
        <v>#VALUE!</v>
      </c>
      <c r="V25" s="163" t="e">
        <f t="shared" si="3"/>
        <v>#VALUE!</v>
      </c>
      <c r="W25" s="170"/>
      <c r="X25" s="187" t="e">
        <f t="shared" si="1"/>
        <v>#VALUE!</v>
      </c>
      <c r="Y25" s="188" t="e">
        <f t="shared" si="2"/>
        <v>#VALUE!</v>
      </c>
      <c r="Z25" s="189" t="e">
        <f>IF(W25&lt;&gt;"",_xll.BDP($B25,Z$10,$M$10,$P25,$K$10,$L25,$W$10,$W25),_xll.BDP($B25,Z$10,$S$10,$T25,$M$10,$P25,$K$10,$L25,$W$10,$W25))</f>
        <v>#VALUE!</v>
      </c>
      <c r="AA25" s="189" t="e">
        <f>IF(W25&lt;&gt;"",_xll.BDP($B25,AA$10,$M$10,$P25,$K$10,$L25,$W$10,$W25),_xll.BDP($B25,AA$10,$S$10,$T25,$M$10,$P25,$K$10,$L25,$W$10,$W25))</f>
        <v>#VALUE!</v>
      </c>
      <c r="AB25" s="189" t="e">
        <f>IF(W25&lt;&gt;"",_xll.BDP($B25,AB$10,$M$10,$P25,$K$10,$L25,$W$10,$W25),_xll.BDP($B25,AB$10,$S$10,$T25,$M$10,$P25,$K$10,$L25,$W$10,$W25))</f>
        <v>#VALUE!</v>
      </c>
      <c r="AC25" s="189" t="e">
        <f>IF(W25&lt;&gt;"",_xll.BDP($B25,AC$10,$M$10,$P25,$K$10,$L25,$W$10,$W25),_xll.BDP($B25,AC$10,$S$10,$T25,$M$10,$P25,$K$10,$L25,$W$10,$W25))</f>
        <v>#VALUE!</v>
      </c>
      <c r="AD25" s="190">
        <f>DATE(YEAR(_xll.BTODAY()),MONTH(_xll.BTODAY()),15)</f>
        <v>45823</v>
      </c>
      <c r="AE25" s="190" cm="1">
        <f t="array" ref="AE25">_xll.BADDPERIODS(AD25,"CDR=BZ")</f>
        <v>45824</v>
      </c>
      <c r="AF25" s="150" t="e">
        <f>_xll.BCOUNTPERIODS(AE25,M25,"CDR=BZ")</f>
        <v>#VALUE!</v>
      </c>
      <c r="AG25" s="190">
        <f>DATE(YEAR(_xll.BTODAY()),MONTH(_xll.BTODAY())+1,15)</f>
        <v>45853</v>
      </c>
      <c r="AH25" s="190" cm="1">
        <f t="array" ref="AH25">_xll.BADDPERIODS(AG25,"CDR=BZ")</f>
        <v>45853</v>
      </c>
      <c r="AI25" s="150" cm="1">
        <f t="array" ref="AI25">_xll.BCOUNTPERIODS(AE25,AH25,"cdr=bz")</f>
        <v>20</v>
      </c>
      <c r="AJ25" s="189" t="str" cm="1">
        <f t="array" ref="AJ25">_xll.BDP($B25,AJ$10)</f>
        <v>#N/A Mandatory parameter [SECURITY] cannot be empty</v>
      </c>
      <c r="AK25" s="189" t="str" cm="1">
        <f t="array" ref="AK25">_xll.BDP($B25,AK$10)</f>
        <v>#N/A Mandatory parameter [SECURITY] cannot be empty</v>
      </c>
      <c r="AL25" s="191" t="str" cm="1">
        <f t="array" ref="AL25">_xll.BDP($B25,AL$10)</f>
        <v>#N/A Mandatory parameter [SECURITY] cannot be empty</v>
      </c>
      <c r="AM25" s="192" t="e">
        <f t="shared" si="4"/>
        <v>#VALUE!</v>
      </c>
      <c r="AN25" s="166" t="str" cm="1">
        <f t="array" ref="AN25">IF($B25="","",_xll.BDH($B25,AN$10,_xlfn.SINGLE(_xll.BTODAY())-1,_xlfn.SINGLE(_xll.BTODAY())-1,"pcs","TUNE"))</f>
        <v/>
      </c>
      <c r="AO25" s="193" t="str" cm="1">
        <f t="array" ref="AO25">IF($B25="","",_xll.BDH($B25,AO$10,_xlfn.SINGLE(_xll.BTODAY())-1,_xlfn.SINGLE(_xll.BTODAY())-1,"pcs","TUNE"))</f>
        <v/>
      </c>
    </row>
    <row r="26" spans="2:41" x14ac:dyDescent="0.25">
      <c r="B26" s="182"/>
      <c r="C26" s="150"/>
      <c r="D26" s="151" t="e" cm="1">
        <f t="array" ref="D26">_xll.BDP($B26,D$10)/100</f>
        <v>#VALUE!</v>
      </c>
      <c r="E26" s="152" t="str" cm="1">
        <f t="array" ref="E26">_xll.BDP($B26,E$10)</f>
        <v>#N/A Mandatory parameter [SECURITY] cannot be empty</v>
      </c>
      <c r="F26" s="153" t="str" cm="1">
        <f t="array" ref="F26">IF(E26="ZERO COUPON","",_xll.BDP($B26,F$10))</f>
        <v>#N/A Mandatory parameter [SECURITY] cannot be empty</v>
      </c>
      <c r="G26" s="154" t="e">
        <f>IF(OR(F26=0,E26="ZERO COUPON"),"",_xll.BDP($B26,G$10,$M$10,P26)*1)</f>
        <v>#VALUE!</v>
      </c>
      <c r="H26" s="154" t="e" cm="1">
        <f t="array" ref="H26">_xll.BDP($B26,H$10)*1</f>
        <v>#VALUE!</v>
      </c>
      <c r="I26" s="150" t="str" cm="1">
        <f t="array" ref="I26">_xll.BDP($B26,I$10)</f>
        <v>#N/A Mandatory parameter [SECURITY] cannot be empty</v>
      </c>
      <c r="J26" s="150" t="str" cm="1">
        <f t="array" ref="J26">_xll.BDP($B26,J$10)</f>
        <v>#N/A Mandatory parameter [SECURITY] cannot be empty</v>
      </c>
      <c r="K26" s="150" t="str">
        <f>IF(B26="","",_xll.BDP($B26,K$10))</f>
        <v/>
      </c>
      <c r="L26" s="170"/>
      <c r="M26" s="183" t="e" cm="1">
        <f t="array" ref="M26">_xll.BDP($B26,M$10)*1</f>
        <v>#VALUE!</v>
      </c>
      <c r="N26" s="157" t="e">
        <f>IF(O26="",_xll.BADDPERIODS(M26,"CDR=BZ","Per=wd","NumberOfPeriods=-2"),_xll.BADDPERIODS(O26,"CDR=BZ","Per=wd","NumberOfPeriods=-2"))</f>
        <v>#VALUE!</v>
      </c>
      <c r="O26" s="170"/>
      <c r="P26" s="158" t="e">
        <f t="shared" si="0"/>
        <v>#VALUE!</v>
      </c>
      <c r="Q26" s="159" t="e">
        <f>TEXT(YEAR(_xll.BADDPERIODS(N26,"CDR=BZ","Per=wd","NumberOfPeriods=2"))*10000+MONTH(_xll.BADDPERIODS(N26,"CDR=BZ","Per=wd","NumberOfPeriods=2"))*100+DAY(_xll.BADDPERIODS(N26,"CDR=BZ","Per=wd","NumberOfPeriods=2")),"00000000")</f>
        <v>#VALUE!</v>
      </c>
      <c r="R26" s="184" t="e">
        <f>_xll.BDP($B26,$R$10,$M$10,P26)</f>
        <v>#VALUE!</v>
      </c>
      <c r="S26" s="185" t="e">
        <f>IF(OR(UPPER(K26)="ANDE",UPPER(L26)="ANDE"),_xll.BDP($B26,$S$10,$K$10,L26,$W$10,W26,$P$10,Q26),_xll.BDP($B26,$S$10,$K$10,L26,$W$10,W26,$P$10,P26))</f>
        <v>#VALUE!</v>
      </c>
      <c r="T26" s="170"/>
      <c r="U26" s="186" t="e">
        <f>IF(W26="",IF(T26="",_xll.BDP($B26,U$10,$S$10,$S26,$K$10,$L26,$M$10,$P26),_xll.BDP($B26,U$10,$S$10,$T26,$M$10,$Q26,$K$10,$L26)),"-")</f>
        <v>#VALUE!</v>
      </c>
      <c r="V26" s="163" t="e">
        <f t="shared" si="3"/>
        <v>#VALUE!</v>
      </c>
      <c r="W26" s="170"/>
      <c r="X26" s="187" t="e">
        <f t="shared" si="1"/>
        <v>#VALUE!</v>
      </c>
      <c r="Y26" s="188" t="e">
        <f t="shared" si="2"/>
        <v>#VALUE!</v>
      </c>
      <c r="Z26" s="189" t="e">
        <f>IF(W26&lt;&gt;"",_xll.BDP($B26,Z$10,$M$10,$P26,$K$10,$L26,$W$10,$W26),_xll.BDP($B26,Z$10,$S$10,$T26,$M$10,$P26,$K$10,$L26,$W$10,$W26))</f>
        <v>#VALUE!</v>
      </c>
      <c r="AA26" s="189" t="e">
        <f>IF(W26&lt;&gt;"",_xll.BDP($B26,AA$10,$M$10,$P26,$K$10,$L26,$W$10,$W26),_xll.BDP($B26,AA$10,$S$10,$T26,$M$10,$P26,$K$10,$L26,$W$10,$W26))</f>
        <v>#VALUE!</v>
      </c>
      <c r="AB26" s="189" t="e">
        <f>IF(W26&lt;&gt;"",_xll.BDP($B26,AB$10,$M$10,$P26,$K$10,$L26,$W$10,$W26),_xll.BDP($B26,AB$10,$S$10,$T26,$M$10,$P26,$K$10,$L26,$W$10,$W26))</f>
        <v>#VALUE!</v>
      </c>
      <c r="AC26" s="189" t="e">
        <f>IF(W26&lt;&gt;"",_xll.BDP($B26,AC$10,$M$10,$P26,$K$10,$L26,$W$10,$W26),_xll.BDP($B26,AC$10,$S$10,$T26,$M$10,$P26,$K$10,$L26,$W$10,$W26))</f>
        <v>#VALUE!</v>
      </c>
      <c r="AD26" s="190">
        <f>DATE(YEAR(_xll.BTODAY()),MONTH(_xll.BTODAY()),15)</f>
        <v>45823</v>
      </c>
      <c r="AE26" s="190" cm="1">
        <f t="array" ref="AE26">_xll.BADDPERIODS(AD26,"CDR=BZ")</f>
        <v>45824</v>
      </c>
      <c r="AF26" s="150" t="e">
        <f>_xll.BCOUNTPERIODS(AE26,M26,"CDR=BZ")</f>
        <v>#VALUE!</v>
      </c>
      <c r="AG26" s="190">
        <f>DATE(YEAR(_xll.BTODAY()),MONTH(_xll.BTODAY())+1,15)</f>
        <v>45853</v>
      </c>
      <c r="AH26" s="190" cm="1">
        <f t="array" ref="AH26">_xll.BADDPERIODS(AG26,"CDR=BZ")</f>
        <v>45853</v>
      </c>
      <c r="AI26" s="150" cm="1">
        <f t="array" ref="AI26">_xll.BCOUNTPERIODS(AE26,AH26,"cdr=bz")</f>
        <v>20</v>
      </c>
      <c r="AJ26" s="189" t="str" cm="1">
        <f t="array" ref="AJ26">_xll.BDP($B26,AJ$10)</f>
        <v>#N/A Mandatory parameter [SECURITY] cannot be empty</v>
      </c>
      <c r="AK26" s="189" t="str" cm="1">
        <f t="array" ref="AK26">_xll.BDP($B26,AK$10)</f>
        <v>#N/A Mandatory parameter [SECURITY] cannot be empty</v>
      </c>
      <c r="AL26" s="191" t="str" cm="1">
        <f t="array" ref="AL26">_xll.BDP($B26,AL$10)</f>
        <v>#N/A Mandatory parameter [SECURITY] cannot be empty</v>
      </c>
      <c r="AM26" s="192" t="e">
        <f t="shared" si="4"/>
        <v>#VALUE!</v>
      </c>
      <c r="AN26" s="166" t="str">
        <f>IF($B26="","",_xll.BDH($B26,AN$10,_xll.BTODAY()-1,_xll.BTODAY()-1,"pcs","TUNE"))</f>
        <v/>
      </c>
      <c r="AO26" s="193" t="str">
        <f>IF($B26="","",_xll.BDH($B26,AO$10,_xll.BTODAY()-1,_xll.BTODAY()-1,"pcs","TUNE"))</f>
        <v/>
      </c>
    </row>
    <row r="27" spans="2:41" x14ac:dyDescent="0.25">
      <c r="B27" s="182"/>
      <c r="C27" s="150"/>
      <c r="D27" s="151" t="e" cm="1">
        <f t="array" ref="D27">_xll.BDP($B27,D$10)/100</f>
        <v>#VALUE!</v>
      </c>
      <c r="E27" s="152" t="str" cm="1">
        <f t="array" ref="E27">_xll.BDP($B27,E$10)</f>
        <v>#N/A Mandatory parameter [SECURITY] cannot be empty</v>
      </c>
      <c r="F27" s="153" t="str" cm="1">
        <f t="array" ref="F27">IF(E27="ZERO COUPON","",_xll.BDP($B27,F$10))</f>
        <v>#N/A Mandatory parameter [SECURITY] cannot be empty</v>
      </c>
      <c r="G27" s="154" t="e">
        <f>IF(OR(F27=0,E27="ZERO COUPON"),"",_xll.BDP($B27,G$10,$M$10,P27)*1)</f>
        <v>#VALUE!</v>
      </c>
      <c r="H27" s="154" t="e" cm="1">
        <f t="array" ref="H27">_xll.BDP($B27,H$10)*1</f>
        <v>#VALUE!</v>
      </c>
      <c r="I27" s="150" t="str" cm="1">
        <f t="array" ref="I27">_xll.BDP($B27,I$10)</f>
        <v>#N/A Mandatory parameter [SECURITY] cannot be empty</v>
      </c>
      <c r="J27" s="150" t="str" cm="1">
        <f t="array" ref="J27">_xll.BDP($B27,J$10)</f>
        <v>#N/A Mandatory parameter [SECURITY] cannot be empty</v>
      </c>
      <c r="K27" s="150" t="str">
        <f>IF(B27="","",_xll.BDP($B27,K$10))</f>
        <v/>
      </c>
      <c r="L27" s="170"/>
      <c r="M27" s="183" t="e" cm="1">
        <f t="array" ref="M27">_xll.BDP($B27,M$10)*1</f>
        <v>#VALUE!</v>
      </c>
      <c r="N27" s="157" t="e">
        <f>IF(O27="",_xll.BADDPERIODS(M27,"CDR=BZ","Per=wd","NumberOfPeriods=-2"),_xll.BADDPERIODS(O27,"CDR=BZ","Per=wd","NumberOfPeriods=-2"))</f>
        <v>#VALUE!</v>
      </c>
      <c r="O27" s="170"/>
      <c r="P27" s="158" t="e">
        <f t="shared" si="0"/>
        <v>#VALUE!</v>
      </c>
      <c r="Q27" s="159" t="e">
        <f>TEXT(YEAR(_xll.BADDPERIODS(N27,"CDR=BZ","Per=wd","NumberOfPeriods=2"))*10000+MONTH(_xll.BADDPERIODS(N27,"CDR=BZ","Per=wd","NumberOfPeriods=2"))*100+DAY(_xll.BADDPERIODS(N27,"CDR=BZ","Per=wd","NumberOfPeriods=2")),"00000000")</f>
        <v>#VALUE!</v>
      </c>
      <c r="R27" s="184" t="e">
        <f>_xll.BDP($B27,$R$10,$M$10,P27)</f>
        <v>#VALUE!</v>
      </c>
      <c r="S27" s="185" t="e">
        <f>IF(OR(UPPER(K27)="ANDE",UPPER(L27)="ANDE"),_xll.BDP($B27,$S$10,$K$10,L27,$W$10,W27,$P$10,Q27),_xll.BDP($B27,$S$10,$K$10,L27,$W$10,W27,$P$10,P27))</f>
        <v>#VALUE!</v>
      </c>
      <c r="T27" s="170"/>
      <c r="U27" s="186" t="e">
        <f>IF(W27="",IF(T27="",_xll.BDP($B27,U$10,$S$10,$S27,$K$10,$L27,$M$10,$P27),_xll.BDP($B27,U$10,$S$10,$T27,$M$10,$Q27,$K$10,$L27)),"-")</f>
        <v>#VALUE!</v>
      </c>
      <c r="V27" s="163" t="e">
        <f>IF(T27="",U27,T27)</f>
        <v>#VALUE!</v>
      </c>
      <c r="W27" s="170"/>
      <c r="X27" s="187" t="e">
        <f t="shared" si="1"/>
        <v>#VALUE!</v>
      </c>
      <c r="Y27" s="188" t="e">
        <f t="shared" si="2"/>
        <v>#VALUE!</v>
      </c>
      <c r="Z27" s="189" t="e">
        <f>IF(W27&lt;&gt;"",_xll.BDP($B27,Z$10,$M$10,$P27,$K$10,$L27,$W$10,$W27),_xll.BDP($B27,Z$10,$S$10,$T27,$M$10,$P27,$K$10,$L27,$W$10,$W27))</f>
        <v>#VALUE!</v>
      </c>
      <c r="AA27" s="189" t="e">
        <f>IF(W27&lt;&gt;"",_xll.BDP($B27,AA$10,$M$10,$P27,$K$10,$L27,$W$10,$W27),_xll.BDP($B27,AA$10,$S$10,$T27,$M$10,$P27,$K$10,$L27,$W$10,$W27))</f>
        <v>#VALUE!</v>
      </c>
      <c r="AB27" s="189" t="e">
        <f>IF(W27&lt;&gt;"",_xll.BDP($B27,AB$10,$M$10,$P27,$K$10,$L27,$W$10,$W27),_xll.BDP($B27,AB$10,$S$10,$T27,$M$10,$P27,$K$10,$L27,$W$10,$W27))</f>
        <v>#VALUE!</v>
      </c>
      <c r="AC27" s="189" t="e">
        <f>IF(W27&lt;&gt;"",_xll.BDP($B27,AC$10,$M$10,$P27,$K$10,$L27,$W$10,$W27),_xll.BDP($B27,AC$10,$S$10,$T27,$M$10,$P27,$K$10,$L27,$W$10,$W27))</f>
        <v>#VALUE!</v>
      </c>
      <c r="AD27" s="190">
        <f>DATE(YEAR(_xll.BTODAY()),MONTH(_xll.BTODAY()),15)</f>
        <v>45823</v>
      </c>
      <c r="AE27" s="190" cm="1">
        <f t="array" ref="AE27">_xll.BADDPERIODS(AD27,"CDR=BZ")</f>
        <v>45824</v>
      </c>
      <c r="AF27" s="150" t="e">
        <f>_xll.BCOUNTPERIODS(AE27,M27,"CDR=BZ")</f>
        <v>#VALUE!</v>
      </c>
      <c r="AG27" s="190">
        <f>DATE(YEAR(_xll.BTODAY()),MONTH(_xll.BTODAY())+1,15)</f>
        <v>45853</v>
      </c>
      <c r="AH27" s="190" cm="1">
        <f t="array" ref="AH27">_xll.BADDPERIODS(AG27,"CDR=BZ")</f>
        <v>45853</v>
      </c>
      <c r="AI27" s="150" cm="1">
        <f t="array" ref="AI27">_xll.BCOUNTPERIODS(AE27,AH27,"cdr=bz")</f>
        <v>20</v>
      </c>
      <c r="AJ27" s="189" t="str" cm="1">
        <f t="array" ref="AJ27">_xll.BDP($B27,AJ$10)</f>
        <v>#N/A Mandatory parameter [SECURITY] cannot be empty</v>
      </c>
      <c r="AK27" s="189" t="str" cm="1">
        <f t="array" ref="AK27">_xll.BDP($B27,AK$10)</f>
        <v>#N/A Mandatory parameter [SECURITY] cannot be empty</v>
      </c>
      <c r="AL27" s="191" t="str" cm="1">
        <f t="array" ref="AL27">_xll.BDP($B27,AL$10)</f>
        <v>#N/A Mandatory parameter [SECURITY] cannot be empty</v>
      </c>
      <c r="AM27" s="192" t="e">
        <f>Y27/1000</f>
        <v>#VALUE!</v>
      </c>
      <c r="AN27" s="166" t="str">
        <f>IF($B27="","",_xll.BDH($B27,AN$10,_xll.BTODAY()-1,_xll.BTODAY()-1,"pcs","TUNE"))</f>
        <v/>
      </c>
      <c r="AO27" s="193" t="str">
        <f>IF($B27="","",_xll.BDH($B27,AO$10,_xll.BTODAY()-1,_xll.BTODAY()-1,"pcs","TUNE"))</f>
        <v/>
      </c>
    </row>
    <row r="28" spans="2:41" x14ac:dyDescent="0.25">
      <c r="B28" s="194"/>
      <c r="C28" s="195"/>
      <c r="D28" s="196" t="e" cm="1">
        <f t="array" ref="D28">_xll.BDP($B28,D$10)/100</f>
        <v>#VALUE!</v>
      </c>
      <c r="E28" s="197" t="str" cm="1">
        <f t="array" ref="E28">_xll.BDP($B28,E$10)</f>
        <v>#N/A Mandatory parameter [SECURITY] cannot be empty</v>
      </c>
      <c r="F28" s="198" t="str" cm="1">
        <f t="array" ref="F28">IF(E28="ZERO COUPON","",_xll.BDP($B28,F$10))</f>
        <v>#N/A Mandatory parameter [SECURITY] cannot be empty</v>
      </c>
      <c r="G28" s="199" t="e">
        <f>IF(OR(F28=0,E28="ZERO COUPON"),"",_xll.BDP($B28,G$10,$M$10,P28)*1)</f>
        <v>#VALUE!</v>
      </c>
      <c r="H28" s="199" t="e" cm="1">
        <f t="array" ref="H28">_xll.BDP($B28,H$10)*1</f>
        <v>#VALUE!</v>
      </c>
      <c r="I28" s="195" t="str" cm="1">
        <f t="array" ref="I28">_xll.BDP($B28,I$10)</f>
        <v>#N/A Mandatory parameter [SECURITY] cannot be empty</v>
      </c>
      <c r="J28" s="195" t="str" cm="1">
        <f t="array" ref="J28">_xll.BDP($B28,J$10)</f>
        <v>#N/A Mandatory parameter [SECURITY] cannot be empty</v>
      </c>
      <c r="K28" s="195" t="str">
        <f>IF(B28="","",_xll.BDP($B28,K$10))</f>
        <v/>
      </c>
      <c r="L28" s="200"/>
      <c r="M28" s="201" t="e" cm="1">
        <f t="array" ref="M28">_xll.BDP($B28,M$10)*1</f>
        <v>#VALUE!</v>
      </c>
      <c r="N28" s="202" t="e">
        <f>IF(O28="",_xll.BADDPERIODS(M28,"CDR=BZ","Per=wd","NumberOfPeriods=-2"),_xll.BADDPERIODS(O28,"CDR=BZ","Per=wd","NumberOfPeriods=-2"))</f>
        <v>#VALUE!</v>
      </c>
      <c r="O28" s="200"/>
      <c r="P28" s="203" t="e">
        <f t="shared" si="0"/>
        <v>#VALUE!</v>
      </c>
      <c r="Q28" s="204" t="e">
        <f>TEXT(YEAR(_xll.BADDPERIODS(N28,"CDR=BZ","Per=wd","NumberOfPeriods=2"))*10000+MONTH(_xll.BADDPERIODS(N28,"CDR=BZ","Per=wd","NumberOfPeriods=2"))*100+DAY(_xll.BADDPERIODS(N28,"CDR=BZ","Per=wd","NumberOfPeriods=2")),"00000000")</f>
        <v>#VALUE!</v>
      </c>
      <c r="R28" s="205" t="e">
        <f>_xll.BDP($B28,$R$10,$M$10,P28)</f>
        <v>#VALUE!</v>
      </c>
      <c r="S28" s="206" t="e">
        <f>IF(OR(UPPER(K28)="ANDE",UPPER(L28)="ANDE"),_xll.BDP($B28,$S$10,$K$10,L28,$W$10,W28,$P$10,Q28),_xll.BDP($B28,$S$10,$K$10,L28,$W$10,W28,$P$10,P28))</f>
        <v>#VALUE!</v>
      </c>
      <c r="T28" s="200"/>
      <c r="U28" s="207" t="e">
        <f>IF(W28="",IF(T28="",_xll.BDP($B28,U$10,$S$10,$S28,$K$10,$L28,$M$10,$P28),_xll.BDP($B28,U$10,$S$10,$T28,$M$10,$Q28,$K$10,$L28)),"-")</f>
        <v>#VALUE!</v>
      </c>
      <c r="V28" s="208" t="e">
        <f>IF(T28="",U28,T28)</f>
        <v>#VALUE!</v>
      </c>
      <c r="W28" s="200"/>
      <c r="X28" s="209" t="e">
        <f t="shared" si="1"/>
        <v>#VALUE!</v>
      </c>
      <c r="Y28" s="210" t="e">
        <f t="shared" si="2"/>
        <v>#VALUE!</v>
      </c>
      <c r="Z28" s="211" t="e">
        <f>IF(W28&lt;&gt;"",_xll.BDP($B28,Z$10,$M$10,$P28,$K$10,$L28,$W$10,$W28),_xll.BDP($B28,Z$10,$S$10,$T28,$M$10,$P28,$K$10,$L28,$W$10,$W28))</f>
        <v>#VALUE!</v>
      </c>
      <c r="AA28" s="211" t="e">
        <f>IF(W28&lt;&gt;"",_xll.BDP($B28,AA$10,$M$10,$P28,$K$10,$L28,$W$10,$W28),_xll.BDP($B28,AA$10,$S$10,$T28,$M$10,$P28,$K$10,$L28,$W$10,$W28))</f>
        <v>#VALUE!</v>
      </c>
      <c r="AB28" s="211" t="e">
        <f>IF(W28&lt;&gt;"",_xll.BDP($B28,AB$10,$M$10,$P28,$K$10,$L28,$W$10,$W28),_xll.BDP($B28,AB$10,$S$10,$T28,$M$10,$P28,$K$10,$L28,$W$10,$W28))</f>
        <v>#VALUE!</v>
      </c>
      <c r="AC28" s="211" t="e">
        <f>IF(W28&lt;&gt;"",_xll.BDP($B28,AC$10,$M$10,$P28,$K$10,$L28,$W$10,$W28),_xll.BDP($B28,AC$10,$S$10,$T28,$M$10,$P28,$K$10,$L28,$W$10,$W28))</f>
        <v>#VALUE!</v>
      </c>
      <c r="AD28" s="212">
        <f>DATE(YEAR(_xll.BTODAY()),MONTH(_xll.BTODAY()),15)</f>
        <v>45823</v>
      </c>
      <c r="AE28" s="212" cm="1">
        <f t="array" ref="AE28">_xll.BADDPERIODS(AD28,"CDR=BZ")</f>
        <v>45824</v>
      </c>
      <c r="AF28" s="195" t="e">
        <f>_xll.BCOUNTPERIODS(AE28,M28,"CDR=BZ")</f>
        <v>#VALUE!</v>
      </c>
      <c r="AG28" s="212">
        <f>DATE(YEAR(_xll.BTODAY()),MONTH(_xll.BTODAY())+1,15)</f>
        <v>45853</v>
      </c>
      <c r="AH28" s="212" cm="1">
        <f t="array" ref="AH28">_xll.BADDPERIODS(AG28,"CDR=BZ")</f>
        <v>45853</v>
      </c>
      <c r="AI28" s="195" cm="1">
        <f t="array" ref="AI28">_xll.BCOUNTPERIODS(AE28,AH28,"cdr=bz")</f>
        <v>20</v>
      </c>
      <c r="AJ28" s="211" t="str" cm="1">
        <f t="array" ref="AJ28">_xll.BDP($B28,AJ$10)</f>
        <v>#N/A Mandatory parameter [SECURITY] cannot be empty</v>
      </c>
      <c r="AK28" s="211" t="str" cm="1">
        <f t="array" ref="AK28">_xll.BDP($B28,AK$10)</f>
        <v>#N/A Mandatory parameter [SECURITY] cannot be empty</v>
      </c>
      <c r="AL28" s="213" t="str" cm="1">
        <f t="array" ref="AL28">_xll.BDP($B28,AL$10)</f>
        <v>#N/A Mandatory parameter [SECURITY] cannot be empty</v>
      </c>
      <c r="AM28" s="214" t="e">
        <f>Y28/1000</f>
        <v>#VALUE!</v>
      </c>
      <c r="AN28" s="215" t="str">
        <f>IF($B28="","",_xll.BDH($B28,AN$10,_xll.BTODAY()-1,_xll.BTODAY()-1,"pcs","TUNE"))</f>
        <v/>
      </c>
      <c r="AO28" s="216" t="str">
        <f>IF($B28="","",_xll.BDH($B28,AO$10,_xll.BTODAY()-1,_xll.BTODAY()-1,"pcs","TUNE"))</f>
        <v/>
      </c>
    </row>
    <row r="29" spans="2:41" x14ac:dyDescent="0.25">
      <c r="AL29" s="217"/>
    </row>
    <row r="33" spans="19:19" x14ac:dyDescent="0.25">
      <c r="S33" s="218"/>
    </row>
  </sheetData>
  <mergeCells count="6">
    <mergeCell ref="AN8:AO8"/>
    <mergeCell ref="AJ8:AM8"/>
    <mergeCell ref="H8:J8"/>
    <mergeCell ref="D8:G8"/>
    <mergeCell ref="Z8:AC8"/>
    <mergeCell ref="K8:Y8"/>
  </mergeCells>
  <conditionalFormatting sqref="P12:S12 U12:V12 B12:K12 M12:N12 X12:AM12">
    <cfRule type="expression" dxfId="126" priority="106">
      <formula>$B12=""</formula>
    </cfRule>
  </conditionalFormatting>
  <conditionalFormatting sqref="AN12:AO12">
    <cfRule type="expression" dxfId="125" priority="21">
      <formula>$B12=""</formula>
    </cfRule>
  </conditionalFormatting>
  <conditionalFormatting sqref="P11:S11 U11:V11 B11:K11 M11:N11 X11:AM11">
    <cfRule type="expression" dxfId="124" priority="10">
      <formula>$B11=""</formula>
    </cfRule>
  </conditionalFormatting>
  <conditionalFormatting sqref="AN11:AO11">
    <cfRule type="expression" dxfId="123" priority="6">
      <formula>$B11=""</formula>
    </cfRule>
  </conditionalFormatting>
  <conditionalFormatting sqref="T11:T28">
    <cfRule type="expression" dxfId="122" priority="2">
      <formula>$B11=""</formula>
    </cfRule>
  </conditionalFormatting>
  <conditionalFormatting sqref="P13:S28 U13:V28 B13:K28 M13:N28 X13:AM28">
    <cfRule type="expression" dxfId="121" priority="15">
      <formula>$B13=""</formula>
    </cfRule>
  </conditionalFormatting>
  <conditionalFormatting sqref="AN13:AO28">
    <cfRule type="expression" dxfId="120" priority="11">
      <formula>$B13=""</formula>
    </cfRule>
  </conditionalFormatting>
  <conditionalFormatting sqref="C8">
    <cfRule type="expression" dxfId="119" priority="5">
      <formula>$B8=""</formula>
    </cfRule>
  </conditionalFormatting>
  <conditionalFormatting sqref="L11:L28">
    <cfRule type="expression" dxfId="118" priority="4">
      <formula>$B11=""</formula>
    </cfRule>
  </conditionalFormatting>
  <conditionalFormatting sqref="O11:O28">
    <cfRule type="expression" dxfId="117" priority="3">
      <formula>$B11=""</formula>
    </cfRule>
  </conditionalFormatting>
  <conditionalFormatting sqref="W11:W28">
    <cfRule type="expression" dxfId="116" priority="1">
      <formula>$B11=""</formula>
    </cfRule>
  </conditionalFormatting>
  <dataValidations count="1">
    <dataValidation type="list" allowBlank="1" showInputMessage="1" showErrorMessage="1" sqref="C8" xr:uid="{00000000-0002-0000-0200-000000000000}">
      <formula1>"BID,ASK"</formula1>
    </dataValidation>
  </dataValidations>
  <pageMargins left="0.7" right="0.7" top="0.75" bottom="0.75" header="0.3" footer="0.3"/>
  <pageSetup orientation="portrait" r:id="rId1"/>
  <ignoredErrors>
    <ignoredError sqref="G28 G26 S25:S28 R25:R28 U25:U28 X27:X28 AF28 Y27:Y28 X25:AC26 Z27:AC28 AF27 G25 AM25 G27 AM26 AM27 AM28" evalError="1"/>
  </ignoredError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B1:AE32"/>
  <sheetViews>
    <sheetView showGridLines="0" showRowColHeaders="0" zoomScaleNormal="100" workbookViewId="0">
      <pane ySplit="5" topLeftCell="A6" activePane="bottomLeft" state="frozen"/>
      <selection pane="bottomLeft" activeCell="B12" sqref="B12"/>
    </sheetView>
  </sheetViews>
  <sheetFormatPr defaultRowHeight="15" x14ac:dyDescent="0.25"/>
  <cols>
    <col min="1" max="1" width="1.7109375" customWidth="1"/>
    <col min="2" max="2" width="14.7109375" customWidth="1"/>
    <col min="3" max="3" width="20.5703125" customWidth="1"/>
    <col min="4" max="4" width="8" customWidth="1"/>
    <col min="5" max="5" width="12.140625" customWidth="1"/>
    <col min="6" max="6" width="12.5703125" customWidth="1"/>
    <col min="7" max="7" width="12.42578125" customWidth="1"/>
    <col min="8" max="8" width="11.140625" customWidth="1"/>
    <col min="9" max="9" width="13.85546875" customWidth="1"/>
    <col min="10" max="10" width="9.5703125" customWidth="1"/>
    <col min="11" max="12" width="15.140625" customWidth="1"/>
    <col min="13" max="13" width="13.28515625" customWidth="1"/>
    <col min="14" max="14" width="13.28515625" hidden="1" customWidth="1"/>
    <col min="15" max="15" width="13.28515625" customWidth="1"/>
    <col min="16" max="16" width="13.28515625" hidden="1" customWidth="1"/>
    <col min="17" max="17" width="15.28515625" hidden="1" customWidth="1"/>
    <col min="18" max="18" width="13.140625" style="32" customWidth="1"/>
    <col min="19" max="19" width="13" style="32" customWidth="1"/>
    <col min="20" max="20" width="20" style="32" customWidth="1"/>
    <col min="21" max="21" width="17.7109375" style="32" customWidth="1"/>
    <col min="22" max="22" width="16" style="32" hidden="1" customWidth="1"/>
    <col min="23" max="23" width="16" style="32" customWidth="1"/>
    <col min="24" max="25" width="15.28515625" style="32" customWidth="1"/>
    <col min="26" max="26" width="12.140625" style="32" customWidth="1"/>
    <col min="27" max="27" width="11.5703125" style="32" customWidth="1"/>
    <col min="28" max="28" width="12.85546875" style="32" customWidth="1"/>
    <col min="29" max="29" width="11.85546875" style="32" customWidth="1"/>
    <col min="30" max="31" width="11.42578125" customWidth="1"/>
  </cols>
  <sheetData>
    <row r="1" spans="2:31" ht="5.0999999999999996" customHeight="1" x14ac:dyDescent="0.25"/>
    <row r="2" spans="2:31" ht="15" customHeight="1" x14ac:dyDescent="0.25"/>
    <row r="3" spans="2:31" ht="15" customHeight="1" x14ac:dyDescent="0.25"/>
    <row r="4" spans="2:31" ht="15" customHeight="1" x14ac:dyDescent="0.25"/>
    <row r="5" spans="2:31" ht="5.0999999999999996" customHeight="1" x14ac:dyDescent="0.25"/>
    <row r="6" spans="2:31" x14ac:dyDescent="0.25">
      <c r="B6" s="171" t="str" cm="1">
        <f t="array" ref="B6">_xll.BDP(B11, "short Name")</f>
        <v>BRAZIL NTN-F</v>
      </c>
      <c r="D6" s="171"/>
      <c r="E6" s="171" t="str" cm="1">
        <f t="array" ref="E6">_xll.BDP(B11, "des_notes")</f>
        <v>ISS'D IN UNITARY PRICE (PU).</v>
      </c>
    </row>
    <row r="7" spans="2:31" ht="5.0999999999999996" customHeight="1" x14ac:dyDescent="0.25"/>
    <row r="8" spans="2:31" x14ac:dyDescent="0.25">
      <c r="B8" s="107" t="s">
        <v>150</v>
      </c>
      <c r="C8" s="270" t="s">
        <v>149</v>
      </c>
      <c r="D8" s="327" t="s">
        <v>11</v>
      </c>
      <c r="E8" s="325"/>
      <c r="F8" s="325"/>
      <c r="G8" s="326"/>
      <c r="H8" s="325" t="s">
        <v>4</v>
      </c>
      <c r="I8" s="325"/>
      <c r="J8" s="326"/>
      <c r="K8" s="325" t="s">
        <v>26</v>
      </c>
      <c r="L8" s="325"/>
      <c r="M8" s="325"/>
      <c r="N8" s="325"/>
      <c r="O8" s="325"/>
      <c r="P8" s="325"/>
      <c r="Q8" s="325"/>
      <c r="R8" s="325"/>
      <c r="S8" s="325"/>
      <c r="T8" s="325"/>
      <c r="U8" s="325"/>
      <c r="V8" s="325"/>
      <c r="W8" s="325"/>
      <c r="X8" s="325"/>
      <c r="Y8" s="326"/>
      <c r="Z8" s="325" t="s">
        <v>18</v>
      </c>
      <c r="AA8" s="325"/>
      <c r="AB8" s="325"/>
      <c r="AC8" s="325"/>
      <c r="AD8" s="323" t="s">
        <v>358</v>
      </c>
      <c r="AE8" s="324"/>
    </row>
    <row r="9" spans="2:31" x14ac:dyDescent="0.25">
      <c r="B9" s="82" t="s">
        <v>45</v>
      </c>
      <c r="C9" s="142" t="s">
        <v>10</v>
      </c>
      <c r="D9" s="30" t="s">
        <v>11</v>
      </c>
      <c r="E9" s="30" t="s">
        <v>20</v>
      </c>
      <c r="F9" s="30" t="s">
        <v>21</v>
      </c>
      <c r="G9" s="30" t="s">
        <v>23</v>
      </c>
      <c r="H9" s="30" t="s">
        <v>4</v>
      </c>
      <c r="I9" s="30" t="s">
        <v>12</v>
      </c>
      <c r="J9" s="30" t="s">
        <v>25</v>
      </c>
      <c r="K9" s="30" t="s">
        <v>9</v>
      </c>
      <c r="L9" s="30" t="s">
        <v>9</v>
      </c>
      <c r="M9" s="30" t="s">
        <v>7</v>
      </c>
      <c r="N9" s="30" t="s">
        <v>197</v>
      </c>
      <c r="O9" s="30" t="s">
        <v>7</v>
      </c>
      <c r="P9" s="30" t="s">
        <v>7</v>
      </c>
      <c r="Q9" s="30"/>
      <c r="R9" s="30" t="s">
        <v>13</v>
      </c>
      <c r="S9" s="30" t="s">
        <v>83</v>
      </c>
      <c r="T9" s="30" t="s">
        <v>5</v>
      </c>
      <c r="U9" s="30" t="str">
        <f>$C$8&amp;" PRICE"</f>
        <v>ASK PRICE</v>
      </c>
      <c r="V9" s="30" t="str">
        <f>$C$8&amp;" PRICE"</f>
        <v>ASK PRICE</v>
      </c>
      <c r="W9" s="30" t="str">
        <f>$C$8&amp;" PRICE"</f>
        <v>ASK PRICE</v>
      </c>
      <c r="X9" s="30" t="s">
        <v>46</v>
      </c>
      <c r="Y9" s="30" t="s">
        <v>47</v>
      </c>
      <c r="Z9" s="30" t="s">
        <v>17</v>
      </c>
      <c r="AA9" s="30" t="s">
        <v>14</v>
      </c>
      <c r="AB9" s="30" t="s">
        <v>15</v>
      </c>
      <c r="AC9" s="30" t="s">
        <v>27</v>
      </c>
      <c r="AD9" s="143" t="s">
        <v>359</v>
      </c>
      <c r="AE9" s="177" t="s">
        <v>360</v>
      </c>
    </row>
    <row r="10" spans="2:31" hidden="1" x14ac:dyDescent="0.25">
      <c r="B10" s="178">
        <f>COUNTA(B11:B21)</f>
        <v>5</v>
      </c>
      <c r="C10" s="145"/>
      <c r="D10" s="146" t="s">
        <v>2</v>
      </c>
      <c r="E10" s="146" t="s">
        <v>19</v>
      </c>
      <c r="F10" s="146" t="s">
        <v>22</v>
      </c>
      <c r="G10" s="146" t="s">
        <v>0</v>
      </c>
      <c r="H10" s="146" t="s">
        <v>4</v>
      </c>
      <c r="I10" s="146" t="s">
        <v>3</v>
      </c>
      <c r="J10" s="146" t="s">
        <v>24</v>
      </c>
      <c r="K10" s="146" t="s">
        <v>8</v>
      </c>
      <c r="L10" s="146" t="s">
        <v>9</v>
      </c>
      <c r="M10" s="146" t="s">
        <v>1</v>
      </c>
      <c r="N10" s="147"/>
      <c r="O10" s="146"/>
      <c r="P10" s="148" t="s">
        <v>7</v>
      </c>
      <c r="Q10" s="148"/>
      <c r="R10" s="146" t="s">
        <v>6</v>
      </c>
      <c r="S10" s="146" t="str">
        <f>"YLD_YTM_"&amp;$C$8</f>
        <v>YLD_YTM_ASK</v>
      </c>
      <c r="T10" s="146" t="s">
        <v>5</v>
      </c>
      <c r="U10" s="146" t="str">
        <f>"PX "&amp;$C$8</f>
        <v>PX ASK</v>
      </c>
      <c r="V10" s="149" t="str">
        <f>"PX "&amp;$C$8</f>
        <v>PX ASK</v>
      </c>
      <c r="W10" s="146" t="str">
        <f>"PX "&amp;$C$8</f>
        <v>PX ASK</v>
      </c>
      <c r="X10" s="146" t="str">
        <f>"PX_CLEAN "&amp;$C$8</f>
        <v>PX_CLEAN ASK</v>
      </c>
      <c r="Y10" s="146" t="str">
        <f>"PX_DISC_"&amp;$C$8</f>
        <v>PX_DISC_ASK</v>
      </c>
      <c r="Z10" s="146" t="str">
        <f>"DUR_"&amp;$C$8</f>
        <v>DUR_ASK</v>
      </c>
      <c r="AA10" s="146" t="str">
        <f>"DUR_ADJ_"&amp;$C$8</f>
        <v>DUR_ADJ_ASK</v>
      </c>
      <c r="AB10" s="146" t="str">
        <f>"CNVX_"&amp;$C$8</f>
        <v>CNVX_ASK</v>
      </c>
      <c r="AC10" s="146" t="str">
        <f>"RISK_"&amp;$C$8</f>
        <v>RISK_ASK</v>
      </c>
      <c r="AD10" s="146" t="s">
        <v>361</v>
      </c>
      <c r="AE10" s="181" t="s">
        <v>225</v>
      </c>
    </row>
    <row r="11" spans="2:31" x14ac:dyDescent="0.25">
      <c r="B11" s="182" t="str">
        <f>_xll.BCHAIN("JV5341526 Corp","bonds","","SortBy","maturity","SortOrder","asc","cols=1;rows=5")</f>
        <v>JV534152 Corp</v>
      </c>
      <c r="C11" s="150"/>
      <c r="D11" s="151">
        <f>_xll.BDP($B11,D$10)/100</f>
        <v>0.1</v>
      </c>
      <c r="E11" s="152" t="str">
        <f>_xll.BDP($B11,E$10)</f>
        <v>FIXED</v>
      </c>
      <c r="F11" s="153">
        <f>IF(E11="ZERO COUPON","",_xll.BDP($B11,F$10))</f>
        <v>2</v>
      </c>
      <c r="G11" s="154">
        <f>IF(OR(F11=0,E11="ZERO COUPON"),"",_xll.BDP($B11,G$10,$M$10,P11)*1)</f>
        <v>45659</v>
      </c>
      <c r="H11" s="154">
        <f>_xll.BDP($B11,H$10)*1</f>
        <v>46388</v>
      </c>
      <c r="I11" s="150" t="str">
        <f>_xll.BDP($B11,I$10)</f>
        <v>AT MATURITY</v>
      </c>
      <c r="J11" s="150">
        <f>_xll.BDP($B11,J$10)</f>
        <v>1000</v>
      </c>
      <c r="K11" s="155" t="str">
        <f>IF(B11="","",_xll.BDP($B11,K$10))</f>
        <v>ANDI</v>
      </c>
      <c r="L11" s="170"/>
      <c r="M11" s="156">
        <f>_xll.BDP($B11,M$10)*1</f>
        <v>45831</v>
      </c>
      <c r="N11" s="157" cm="1">
        <f t="array" ref="N11">IF(O11="",_xll.BADDPERIODS(M11,"CDR=BZ","Per=wd","NumberOfPeriods=-2"),_xll.BADDPERIODS(O11,"CDR=BZ","Per=wd","NumberOfPeriods=-2"))</f>
        <v>45826</v>
      </c>
      <c r="O11" s="170"/>
      <c r="P11" s="158" t="str">
        <f>IF(OR(K11="ANDE",L11="ANDE"),TEXT(YEAR(N11)*10000+MONTH(N11)*100+DAY(N11),"00000000"),IF(O11="",TEXT(YEAR(M11)*10000+MONTH(M11)*100+DAY(M11),"00000000"),TEXT(YEAR(O11)*10000+MONTH(O11)*100+DAY(O11),"00000000")))</f>
        <v>20250623</v>
      </c>
      <c r="Q11" s="159" t="str">
        <f>TEXT(YEAR(_xll.BADDPERIODS(N11,"CDR=BZ","Per=wd","NumberOfPeriods=2"))*10000+MONTH(_xll.BADDPERIODS(N11,"CDR=BZ","Per=wd","NumberOfPeriods=2"))*100+DAY(_xll.BADDPERIODS(N11,"CDR=BZ","Per=wd","NumberOfPeriods=2")),"00000000")</f>
        <v>20250623</v>
      </c>
      <c r="R11" s="160" cm="1">
        <f t="array" ref="R11">_xll.BDP($B11,$R$10,$M$10,P11)</f>
        <v>46.408413014242534</v>
      </c>
      <c r="S11" s="161" cm="1">
        <f t="array" ref="S11">IF(OR(UPPER(K11)="ANDE",UPPER(L11)="ANDE"),_xll.BDP($B11,$S$10,$K$10,L11,$W$10,W11,$P$10,Q11),_xll.BDP($B11,$S$10,$K$10,L11,$W$10,W11,$P$10,P11))</f>
        <v>14.2218</v>
      </c>
      <c r="T11" s="170"/>
      <c r="U11" s="162" cm="1">
        <f t="array" ref="U11">IF(W11="",IF(T11="",_xll.BDP($B11,U$10,$S$10,$S11,$K$10,$L11,$M$10,$P11),_xll.BDP($B11,U$10,$S$10,$T11,$M$10,$Q11,$K$10,$L11)),"-")</f>
        <v>992.67008299999998</v>
      </c>
      <c r="V11" s="163">
        <f>IF(T11="",U11,T11)</f>
        <v>992.67008299999998</v>
      </c>
      <c r="W11" s="170"/>
      <c r="X11" s="162">
        <f>IF(W11&lt;&gt;"",_xll.BDP($B11,X$10,$M$10,$P11,$K$10,$L11,$W$10,$W11)/10,_xll.BDP($B11,X$10,$S$10,$T11,$M$10,$P11,$K$10,$L11,$W$10,$W11)/10)</f>
        <v>94.626166998575741</v>
      </c>
      <c r="Y11" s="164">
        <f>IF(W11&lt;&gt;"",_xll.BDP($B11,Y$10,$M$10,$P11,$K$10,$L11,$W$10,$W11)/10,_xll.BDP($B11,Y$10,$S$10,$T11,$M$10,$P11,$K$10,$L11,$W$10,$W11)/10)</f>
        <v>99.267008300000001</v>
      </c>
      <c r="Z11" s="165" cm="1">
        <f t="array" ref="Z11">IF(W11&lt;&gt;"",_xll.BDP($B11,Z$10,$M$10,$P11,$K$10,$L11,$W$10,$W11),_xll.BDP($B11,Z$10,$S$10,$T11,$M$10,$P11,$K$10,$L11,$W$10,$W11))</f>
        <v>1.387217075807323</v>
      </c>
      <c r="AA11" s="165" cm="1">
        <f t="array" ref="AA11">IF(W11&lt;&gt;"",_xll.BDP($B11,AA$10,$M$10,$P11,$K$10,$L11,$W$10,$W11),_xll.BDP($B11,AA$10,$S$10,$T11,$M$10,$P11,$K$10,$L11,$W$10,$W11))</f>
        <v>1.2144941446647044</v>
      </c>
      <c r="AB11" s="165" cm="1">
        <f t="array" ref="AB11">IF(W11&lt;&gt;"",_xll.BDP($B11,AB$10,$M$10,$P11,$K$10,$L11,$W$10,$W11),_xll.BDP($B11,AB$10,$S$10,$T11,$M$10,$P11,$K$10,$L11,$W$10,$W11))</f>
        <v>2.6494200537178943E-2</v>
      </c>
      <c r="AC11" s="165" cm="1">
        <f t="array" ref="AC11">IF(W11&lt;&gt;"",_xll.BDP($B11,AC$10,$M$10,$P11,$K$10,$L11,$W$10,$W11),_xll.BDP($B11,AC$10,$S$10,$T11,$M$10,$P11,$K$10,$L11,$W$10,$W11))</f>
        <v>12.055919999988873</v>
      </c>
      <c r="AD11" s="166" cm="1">
        <f t="array" ref="AD11">IF($B11="","",_xll.BDH($B11,AD$10,_xlfn.SINGLE(_xll.BTODAY())-1,_xlfn.SINGLE(_xll.BTODAY())-1,"pcs","TUNE"))</f>
        <v>14.648999999999999</v>
      </c>
      <c r="AE11" s="193" cm="1">
        <f t="array" ref="AE11">IF($B11="","",_xll.BDH($B11,AE$10,_xlfn.SINGLE(_xll.BTODAY())-1,_xlfn.SINGLE(_xll.BTODAY())-1,"pcs","TUNE"))</f>
        <v>13.766500000000001</v>
      </c>
    </row>
    <row r="12" spans="2:31" x14ac:dyDescent="0.25">
      <c r="B12" s="182" t="s">
        <v>391</v>
      </c>
      <c r="C12" s="150"/>
      <c r="D12" s="151" cm="1">
        <f t="array" ref="D12">_xll.BDP($B12,D$10)/100</f>
        <v>0.1</v>
      </c>
      <c r="E12" s="152" t="str" cm="1">
        <f t="array" ref="E12">_xll.BDP($B12,E$10)</f>
        <v>FIXED</v>
      </c>
      <c r="F12" s="153" cm="1">
        <f t="array" ref="F12">IF(E12="ZERO COUPON","",_xll.BDP($B12,F$10))</f>
        <v>2</v>
      </c>
      <c r="G12" s="154">
        <f>IF(OR(F12=0,E12="ZERO COUPON"),"",_xll.BDP($B12,G$10,$M$10,P12)*1)</f>
        <v>45659</v>
      </c>
      <c r="H12" s="154" cm="1">
        <f t="array" ref="H12">_xll.BDP($B12,H$10)*1</f>
        <v>47119</v>
      </c>
      <c r="I12" s="150" t="str" cm="1">
        <f t="array" ref="I12">_xll.BDP($B12,I$10)</f>
        <v>AT MATURITY</v>
      </c>
      <c r="J12" s="150" cm="1">
        <f t="array" ref="J12">_xll.BDP($B12,J$10)</f>
        <v>1000</v>
      </c>
      <c r="K12" s="155" t="str" cm="1">
        <f t="array" ref="K12">IF(B12="","",_xll.BDP($B12,K$10))</f>
        <v>ANDI</v>
      </c>
      <c r="L12" s="170"/>
      <c r="M12" s="156" cm="1">
        <f t="array" ref="M12">_xll.BDP($B12,M$10)*1</f>
        <v>45831</v>
      </c>
      <c r="N12" s="157">
        <f>IF(O12="",_xll.BADDPERIODS(M12,"CDR=BZ","Per=wd","NumberOfPeriods=-2"),_xll.BADDPERIODS(O12,"CDR=BZ","Per=wd","NumberOfPeriods=-2"))</f>
        <v>45826</v>
      </c>
      <c r="O12" s="170"/>
      <c r="P12" s="158" t="str">
        <f t="shared" ref="P12:P21" si="0">IF(OR(K12="ANDE",L12="ANDE"),TEXT(YEAR(N12)*10000+MONTH(N12)*100+DAY(N12),"00000000"),IF(O12="",TEXT(YEAR(M12)*10000+MONTH(M12)*100+DAY(M12),"00000000"),TEXT(YEAR(O12)*10000+MONTH(O12)*100+DAY(O12),"00000000")))</f>
        <v>20250623</v>
      </c>
      <c r="Q12" s="159" t="str">
        <f>TEXT(YEAR(_xll.BADDPERIODS(N12,"CDR=BZ","Per=wd","NumberOfPeriods=2"))*10000+MONTH(_xll.BADDPERIODS(N12,"CDR=BZ","Per=wd","NumberOfPeriods=2"))*100+DAY(_xll.BADDPERIODS(N12,"CDR=BZ","Per=wd","NumberOfPeriods=2")),"00000000")</f>
        <v>20250623</v>
      </c>
      <c r="R12" s="160" cm="1">
        <f t="array" ref="R12">_xll.BDP($B12,$R$10,$M$10,P12)</f>
        <v>46.408413014242534</v>
      </c>
      <c r="S12" s="161" cm="1">
        <f t="array" ref="S12">IF(OR(UPPER(K12)="ANDE",UPPER(L12)="ANDE"),_xll.BDP($B12,$S$10,$K$10,L12,$W$10,W12,$P$10,Q12),_xll.BDP($B12,$S$10,$K$10,L12,$W$10,W12,$P$10,P12))</f>
        <v>13.545500000000001</v>
      </c>
      <c r="T12" s="170"/>
      <c r="U12" s="162" cm="1">
        <f t="array" ref="U12">IF(W12="",IF(T12="",_xll.BDP($B12,U$10,$S$10,$S12,$K$10,$L12,$M$10,$P12),_xll.BDP($B12,U$10,$S$10,$T12,$M$10,$Q12,$K$10,$L12)),"-")</f>
        <v>955.45060999999998</v>
      </c>
      <c r="V12" s="163">
        <f t="shared" ref="V12:V21" si="1">IF(T12="",U12,T12)</f>
        <v>955.45060999999998</v>
      </c>
      <c r="W12" s="170"/>
      <c r="X12" s="162">
        <f>IF(W12&lt;&gt;"",_xll.BDP($B12,X$10,$M$10,$P12,$K$10,$L12,$W$10,$W12)/10,_xll.BDP($B12,X$10,$S$10,$T12,$M$10,$P12,$K$10,$L12,$W$10,$W12)/10)</f>
        <v>90.904219698575744</v>
      </c>
      <c r="Y12" s="164">
        <f>IF(W12&lt;&gt;"",_xll.BDP($B12,Y$10,$M$10,$P12,$K$10,$L12,$W$10,$W12)/10,_xll.BDP($B12,Y$10,$S$10,$T12,$M$10,$P12,$K$10,$L12,$W$10,$W12)/10)</f>
        <v>95.545061000000004</v>
      </c>
      <c r="Z12" s="165" cm="1">
        <f t="array" ref="Z12">IF(W12&lt;&gt;"",_xll.BDP($B12,Z$10,$M$10,$P12,$K$10,$L12,$W$10,$W12),_xll.BDP($B12,Z$10,$S$10,$T12,$M$10,$P12,$K$10,$L12,$W$10,$W12))</f>
        <v>2.8815462222358303</v>
      </c>
      <c r="AA12" s="165" cm="1">
        <f t="array" ref="AA12">IF(W12&lt;&gt;"",_xll.BDP($B12,AA$10,$M$10,$P12,$K$10,$L12,$W$10,$W12),_xll.BDP($B12,AA$10,$S$10,$T12,$M$10,$P12,$K$10,$L12,$W$10,$W12))</f>
        <v>2.537789891646014</v>
      </c>
      <c r="AB12" s="165" cm="1">
        <f t="array" ref="AB12">IF(W12&lt;&gt;"",_xll.BDP($B12,AB$10,$M$10,$P12,$K$10,$L12,$W$10,$W12),_xll.BDP($B12,AB$10,$S$10,$T12,$M$10,$P12,$K$10,$L12,$W$10,$W12))</f>
        <v>9.6205914987033278E-2</v>
      </c>
      <c r="AC12" s="165" cm="1">
        <f t="array" ref="AC12">IF(W12&lt;&gt;"",_xll.BDP($B12,AC$10,$M$10,$P12,$K$10,$L12,$W$10,$W12),_xll.BDP($B12,AC$10,$S$10,$T12,$M$10,$P12,$K$10,$L12,$W$10,$W12))</f>
        <v>24.247328999996398</v>
      </c>
      <c r="AD12" s="166" cm="1">
        <f t="array" ref="AD12">IF($B12="","",_xll.BDH($B12,AD$10,_xlfn.SINGLE(_xll.BTODAY())-1,_xlfn.SINGLE(_xll.BTODAY())-1,"pcs","TUNE"))</f>
        <v>14.211</v>
      </c>
      <c r="AE12" s="193" cm="1">
        <f t="array" ref="AE12">IF($B12="","",_xll.BDH($B12,AE$10,_xlfn.SINGLE(_xll.BTODAY())-1,_xlfn.SINGLE(_xll.BTODAY())-1,"pcs","TUNE"))</f>
        <v>13.225</v>
      </c>
    </row>
    <row r="13" spans="2:31" x14ac:dyDescent="0.25">
      <c r="B13" s="182" t="s">
        <v>392</v>
      </c>
      <c r="C13" s="150"/>
      <c r="D13" s="151" cm="1">
        <f t="array" ref="D13">_xll.BDP($B13,D$10)/100</f>
        <v>0.1</v>
      </c>
      <c r="E13" s="152" t="str" cm="1">
        <f t="array" ref="E13">_xll.BDP($B13,E$10)</f>
        <v>FIXED</v>
      </c>
      <c r="F13" s="153" cm="1">
        <f t="array" ref="F13">IF(E13="ZERO COUPON","",_xll.BDP($B13,F$10))</f>
        <v>2</v>
      </c>
      <c r="G13" s="154">
        <f>IF(OR(F13=0,E13="ZERO COUPON"),"",_xll.BDP($B13,G$10,$M$10,P13)*1)</f>
        <v>45659</v>
      </c>
      <c r="H13" s="154" cm="1">
        <f t="array" ref="H13">_xll.BDP($B13,H$10)*1</f>
        <v>47849</v>
      </c>
      <c r="I13" s="150" t="str" cm="1">
        <f t="array" ref="I13">_xll.BDP($B13,I$10)</f>
        <v>AT MATURITY</v>
      </c>
      <c r="J13" s="150" cm="1">
        <f t="array" ref="J13">_xll.BDP($B13,J$10)</f>
        <v>1000</v>
      </c>
      <c r="K13" s="155" t="str" cm="1">
        <f t="array" ref="K13">IF(B13="","",_xll.BDP($B13,K$10))</f>
        <v>ANDI</v>
      </c>
      <c r="L13" s="170"/>
      <c r="M13" s="156" cm="1">
        <f t="array" ref="M13">_xll.BDP($B13,M$10)*1</f>
        <v>45831</v>
      </c>
      <c r="N13" s="157">
        <f>IF(O13="",_xll.BADDPERIODS(M13,"CDR=BZ","Per=wd","NumberOfPeriods=-2"),_xll.BADDPERIODS(O13,"CDR=BZ","Per=wd","NumberOfPeriods=-2"))</f>
        <v>45826</v>
      </c>
      <c r="O13" s="170"/>
      <c r="P13" s="158" t="str">
        <f t="shared" si="0"/>
        <v>20250623</v>
      </c>
      <c r="Q13" s="159" t="str">
        <f>TEXT(YEAR(_xll.BADDPERIODS(N13,"CDR=BZ","Per=wd","NumberOfPeriods=2"))*10000+MONTH(_xll.BADDPERIODS(N13,"CDR=BZ","Per=wd","NumberOfPeriods=2"))*100+DAY(_xll.BADDPERIODS(N13,"CDR=BZ","Per=wd","NumberOfPeriods=2")),"00000000")</f>
        <v>20250623</v>
      </c>
      <c r="R13" s="160" cm="1">
        <f t="array" ref="R13">_xll.BDP($B13,$R$10,$M$10,P13)</f>
        <v>46.408413014242534</v>
      </c>
      <c r="S13" s="161" cm="1">
        <f t="array" ref="S13">IF(OR(UPPER(K13)="ANDE",UPPER(L13)="ANDE"),_xll.BDP($B13,$S$10,$K$10,L13,$W$10,W13,$P$10,Q13),_xll.BDP($B13,$S$10,$K$10,L13,$W$10,W13,$P$10,P13))</f>
        <v>13.769500000000001</v>
      </c>
      <c r="T13" s="170"/>
      <c r="U13" s="162" cm="1">
        <f t="array" ref="U13">IF(W13="",IF(T13="",_xll.BDP($B13,U$10,$S$10,$S13,$K$10,$L13,$M$10,$P13),_xll.BDP($B13,U$10,$S$10,$T13,$M$10,$Q13,$K$10,$L13)),"-")</f>
        <v>912.30307500000004</v>
      </c>
      <c r="V13" s="163">
        <f t="shared" si="1"/>
        <v>912.30307500000004</v>
      </c>
      <c r="W13" s="170"/>
      <c r="X13" s="162">
        <f>IF(W13&lt;&gt;"",_xll.BDP($B13,X$10,$M$10,$P13,$K$10,$L13,$W$10,$W13)/10,_xll.BDP($B13,X$10,$S$10,$T13,$M$10,$P13,$K$10,$L13,$W$10,$W13)/10)</f>
        <v>86.589466198575749</v>
      </c>
      <c r="Y13" s="164">
        <f>IF(W13&lt;&gt;"",_xll.BDP($B13,Y$10,$M$10,$P13,$K$10,$L13,$W$10,$W13)/10,_xll.BDP($B13,Y$10,$S$10,$T13,$M$10,$P13,$K$10,$L13,$W$10,$W13)/10)</f>
        <v>91.230307500000009</v>
      </c>
      <c r="Z13" s="165" cm="1">
        <f t="array" ref="Z13">IF(W13&lt;&gt;"",_xll.BDP($B13,Z$10,$M$10,$P13,$K$10,$L13,$W$10,$W13),_xll.BDP($B13,Z$10,$S$10,$T13,$M$10,$P13,$K$10,$L13,$W$10,$W13))</f>
        <v>4.0647559835175215</v>
      </c>
      <c r="AA13" s="165" cm="1">
        <f t="array" ref="AA13">IF(W13&lt;&gt;"",_xll.BDP($B13,AA$10,$M$10,$P13,$K$10,$L13,$W$10,$W13),_xll.BDP($B13,AA$10,$S$10,$T13,$M$10,$P13,$K$10,$L13,$W$10,$W13))</f>
        <v>3.572799371916846</v>
      </c>
      <c r="AB13" s="165" cm="1">
        <f t="array" ref="AB13">IF(W13&lt;&gt;"",_xll.BDP($B13,AB$10,$M$10,$P13,$K$10,$L13,$W$10,$W13),_xll.BDP($B13,AB$10,$S$10,$T13,$M$10,$P13,$K$10,$L13,$W$10,$W13))</f>
        <v>0.1877555881630194</v>
      </c>
      <c r="AC13" s="165" cm="1">
        <f t="array" ref="AC13">IF(W13&lt;&gt;"",_xll.BDP($B13,AC$10,$M$10,$P13,$K$10,$L13,$W$10,$W13),_xll.BDP($B13,AC$10,$S$10,$T13,$M$10,$P13,$K$10,$L13,$W$10,$W13))</f>
        <v>32.594758499993759</v>
      </c>
      <c r="AD13" s="166" cm="1">
        <f t="array" ref="AD13">IF($B13="","",_xll.BDH($B13,AD$10,_xlfn.SINGLE(_xll.BTODAY())-1,_xlfn.SINGLE(_xll.BTODAY())-1,"pcs","TUNE"))</f>
        <v>14.4635</v>
      </c>
      <c r="AE13" s="193" cm="1">
        <f t="array" ref="AE13">IF($B13="","",_xll.BDH($B13,AE$10,_xlfn.SINGLE(_xll.BTODAY())-1,_xlfn.SINGLE(_xll.BTODAY())-1,"pcs","TUNE"))</f>
        <v>13.507300000000001</v>
      </c>
    </row>
    <row r="14" spans="2:31" x14ac:dyDescent="0.25">
      <c r="B14" s="182" t="s">
        <v>393</v>
      </c>
      <c r="C14" s="150"/>
      <c r="D14" s="151" cm="1">
        <f t="array" ref="D14">_xll.BDP($B14,D$10)/100</f>
        <v>0.1</v>
      </c>
      <c r="E14" s="152" t="str" cm="1">
        <f t="array" ref="E14">_xll.BDP($B14,E$10)</f>
        <v>FIXED</v>
      </c>
      <c r="F14" s="153" cm="1">
        <f t="array" ref="F14">IF(E14="ZERO COUPON","",_xll.BDP($B14,F$10))</f>
        <v>2</v>
      </c>
      <c r="G14" s="154">
        <f>IF(OR(F14=0,E14="ZERO COUPON"),"",_xll.BDP($B14,G$10,$M$10,P14)*1)</f>
        <v>45659</v>
      </c>
      <c r="H14" s="154" cm="1">
        <f t="array" ref="H14">_xll.BDP($B14,H$10)*1</f>
        <v>48580</v>
      </c>
      <c r="I14" s="150" t="str" cm="1">
        <f t="array" ref="I14">_xll.BDP($B14,I$10)</f>
        <v>AT MATURITY</v>
      </c>
      <c r="J14" s="150" cm="1">
        <f t="array" ref="J14">_xll.BDP($B14,J$10)</f>
        <v>1000</v>
      </c>
      <c r="K14" s="155" t="str" cm="1">
        <f t="array" ref="K14">IF(B14="","",_xll.BDP($B14,K$10))</f>
        <v>ANDI</v>
      </c>
      <c r="L14" s="170"/>
      <c r="M14" s="156" cm="1">
        <f t="array" ref="M14">_xll.BDP($B14,M$10)*1</f>
        <v>45831</v>
      </c>
      <c r="N14" s="157">
        <f>IF(O14="",_xll.BADDPERIODS(M14,"CDR=BZ","Per=wd","NumberOfPeriods=-2"),_xll.BADDPERIODS(O14,"CDR=BZ","Per=wd","NumberOfPeriods=-2"))</f>
        <v>45826</v>
      </c>
      <c r="O14" s="170"/>
      <c r="P14" s="158" t="str">
        <f t="shared" si="0"/>
        <v>20250623</v>
      </c>
      <c r="Q14" s="159" t="str">
        <f>TEXT(YEAR(_xll.BADDPERIODS(N14,"CDR=BZ","Per=wd","NumberOfPeriods=2"))*10000+MONTH(_xll.BADDPERIODS(N14,"CDR=BZ","Per=wd","NumberOfPeriods=2"))*100+DAY(_xll.BADDPERIODS(N14,"CDR=BZ","Per=wd","NumberOfPeriods=2")),"00000000")</f>
        <v>20250623</v>
      </c>
      <c r="R14" s="160" cm="1">
        <f t="array" ref="R14">_xll.BDP($B14,$R$10,$M$10,P14)</f>
        <v>46.408413014242534</v>
      </c>
      <c r="S14" s="161" cm="1">
        <f t="array" ref="S14">IF(OR(UPPER(K14)="ANDE",UPPER(L14)="ANDE"),_xll.BDP($B14,$S$10,$K$10,L14,$W$10,W14,$P$10,Q14),_xll.BDP($B14,$S$10,$K$10,L14,$W$10,W14,$P$10,P14))</f>
        <v>13.7338</v>
      </c>
      <c r="T14" s="170"/>
      <c r="U14" s="162" cm="1">
        <f t="array" ref="U14">IF(W14="",IF(T14="",_xll.BDP($B14,U$10,$S$10,$S14,$K$10,$L14,$M$10,$P14),_xll.BDP($B14,U$10,$S$10,$T14,$M$10,$Q14,$K$10,$L14)),"-")</f>
        <v>883.82193900000004</v>
      </c>
      <c r="V14" s="163">
        <f t="shared" si="1"/>
        <v>883.82193900000004</v>
      </c>
      <c r="W14" s="170"/>
      <c r="X14" s="162">
        <f>IF(W14&lt;&gt;"",_xll.BDP($B14,X$10,$M$10,$P14,$K$10,$L14,$W$10,$W14)/10,_xll.BDP($B14,X$10,$S$10,$T14,$M$10,$P14,$K$10,$L14,$W$10,$W14)/10)</f>
        <v>83.741352598575745</v>
      </c>
      <c r="Y14" s="164">
        <f>IF(W14&lt;&gt;"",_xll.BDP($B14,Y$10,$M$10,$P14,$K$10,$L14,$W$10,$W14)/10,_xll.BDP($B14,Y$10,$S$10,$T14,$M$10,$P14,$K$10,$L14,$W$10,$W14)/10)</f>
        <v>88.382193900000004</v>
      </c>
      <c r="Z14" s="165" cm="1">
        <f t="array" ref="Z14">IF(W14&lt;&gt;"",_xll.BDP($B14,Z$10,$M$10,$P14,$K$10,$L14,$W$10,$W14),_xll.BDP($B14,Z$10,$S$10,$T14,$M$10,$P14,$K$10,$L14,$W$10,$W14))</f>
        <v>4.9923028775320928</v>
      </c>
      <c r="AA14" s="165" cm="1">
        <f t="array" ref="AA14">IF(W14&lt;&gt;"",_xll.BDP($B14,AA$10,$M$10,$P14,$K$10,$L14,$W$10,$W14),_xll.BDP($B14,AA$10,$S$10,$T14,$M$10,$P14,$K$10,$L14,$W$10,$W14))</f>
        <v>4.3894628304761589</v>
      </c>
      <c r="AB14" s="165" cm="1">
        <f t="array" ref="AB14">IF(W14&lt;&gt;"",_xll.BDP($B14,AB$10,$M$10,$P14,$K$10,$L14,$W$10,$W14),_xll.BDP($B14,AB$10,$S$10,$T14,$M$10,$P14,$K$10,$L14,$W$10,$W14))</f>
        <v>0.28991133685489756</v>
      </c>
      <c r="AC14" s="165" cm="1">
        <f t="array" ref="AC14">IF(W14&lt;&gt;"",_xll.BDP($B14,AC$10,$M$10,$P14,$K$10,$L14,$W$10,$W14),_xll.BDP($B14,AC$10,$S$10,$T14,$M$10,$P14,$K$10,$L14,$W$10,$W14))</f>
        <v>38.795035499998676</v>
      </c>
      <c r="AD14" s="166" cm="1">
        <f t="array" ref="AD14">IF($B14="","",_xll.BDH($B14,AD$10,_xlfn.SINGLE(_xll.BTODAY())-1,_xlfn.SINGLE(_xll.BTODAY())-1,"pcs","TUNE"))</f>
        <v>14.4216</v>
      </c>
      <c r="AE14" s="193" cm="1">
        <f t="array" ref="AE14">IF($B14="","",_xll.BDH($B14,AE$10,_xlfn.SINGLE(_xll.BTODAY())-1,_xlfn.SINGLE(_xll.BTODAY())-1,"pcs","TUNE"))</f>
        <v>13.4564</v>
      </c>
    </row>
    <row r="15" spans="2:31" x14ac:dyDescent="0.25">
      <c r="B15" s="182" t="s">
        <v>394</v>
      </c>
      <c r="C15" s="150"/>
      <c r="D15" s="151" cm="1">
        <f t="array" ref="D15">_xll.BDP($B15,D$10)/100</f>
        <v>0.1</v>
      </c>
      <c r="E15" s="152" t="str" cm="1">
        <f t="array" ref="E15">_xll.BDP($B15,E$10)</f>
        <v>FIXED</v>
      </c>
      <c r="F15" s="153" cm="1">
        <f t="array" ref="F15">IF(E15="ZERO COUPON","",_xll.BDP($B15,F$10))</f>
        <v>2</v>
      </c>
      <c r="G15" s="154">
        <f>IF(OR(F15=0,E15="ZERO COUPON"),"",_xll.BDP($B15,G$10,$M$10,P15)*1)</f>
        <v>45659</v>
      </c>
      <c r="H15" s="154" cm="1">
        <f t="array" ref="H15">_xll.BDP($B15,H$10)*1</f>
        <v>49310</v>
      </c>
      <c r="I15" s="150" t="str" cm="1">
        <f t="array" ref="I15">_xll.BDP($B15,I$10)</f>
        <v>AT MATURITY</v>
      </c>
      <c r="J15" s="150" cm="1">
        <f t="array" ref="J15">_xll.BDP($B15,J$10)</f>
        <v>1000</v>
      </c>
      <c r="K15" s="155" t="str" cm="1">
        <f t="array" ref="K15">IF(B15="","",_xll.BDP($B15,K$10))</f>
        <v>ANDI</v>
      </c>
      <c r="L15" s="170"/>
      <c r="M15" s="156" cm="1">
        <f t="array" ref="M15">_xll.BDP($B15,M$10)*1</f>
        <v>45831</v>
      </c>
      <c r="N15" s="157">
        <f>IF(O15="",_xll.BADDPERIODS(M15,"CDR=BZ","Per=wd","NumberOfPeriods=-2"),_xll.BADDPERIODS(O15,"CDR=BZ","Per=wd","NumberOfPeriods=-2"))</f>
        <v>45826</v>
      </c>
      <c r="O15" s="170"/>
      <c r="P15" s="158" t="str">
        <f t="shared" si="0"/>
        <v>20250623</v>
      </c>
      <c r="Q15" s="159" t="str">
        <f>TEXT(YEAR(_xll.BADDPERIODS(N15,"CDR=BZ","Per=wd","NumberOfPeriods=2"))*10000+MONTH(_xll.BADDPERIODS(N15,"CDR=BZ","Per=wd","NumberOfPeriods=2"))*100+DAY(_xll.BADDPERIODS(N15,"CDR=BZ","Per=wd","NumberOfPeriods=2")),"00000000")</f>
        <v>20250623</v>
      </c>
      <c r="R15" s="160" cm="1">
        <f t="array" ref="R15">_xll.BDP($B15,$R$10,$M$10,P15)</f>
        <v>46.408413014242534</v>
      </c>
      <c r="S15" s="161" cm="1">
        <f t="array" ref="S15">IF(OR(UPPER(K15)="ANDE",UPPER(L15)="ANDE"),_xll.BDP($B15,$S$10,$K$10,L15,$W$10,W15,$P$10,Q15),_xll.BDP($B15,$S$10,$K$10,L15,$W$10,W15,$P$10,P15))</f>
        <v>13.8377</v>
      </c>
      <c r="T15" s="170"/>
      <c r="U15" s="162" cm="1">
        <f t="array" ref="U15">IF(W15="",IF(T15="",_xll.BDP($B15,U$10,$S$10,$S15,$K$10,$L15,$M$10,$P15),_xll.BDP($B15,U$10,$S$10,$T15,$M$10,$Q15,$K$10,$L15)),"-")</f>
        <v>857.22671800000001</v>
      </c>
      <c r="V15" s="163">
        <f t="shared" si="1"/>
        <v>857.22671800000001</v>
      </c>
      <c r="W15" s="170"/>
      <c r="X15" s="162">
        <f>IF(W15&lt;&gt;"",_xll.BDP($B15,X$10,$M$10,$P15,$K$10,$L15,$W$10,$W15)/10,_xll.BDP($B15,X$10,$S$10,$T15,$M$10,$P15,$K$10,$L15,$W$10,$W15)/10)</f>
        <v>81.081830498575741</v>
      </c>
      <c r="Y15" s="164">
        <f>IF(W15&lt;&gt;"",_xll.BDP($B15,Y$10,$M$10,$P15,$K$10,$L15,$W$10,$W15)/10,_xll.BDP($B15,Y$10,$S$10,$T15,$M$10,$P15,$K$10,$L15,$W$10,$W15)/10)</f>
        <v>85.722671800000001</v>
      </c>
      <c r="Z15" s="165" cm="1">
        <f t="array" ref="Z15">IF(W15&lt;&gt;"",_xll.BDP($B15,Z$10,$M$10,$P15,$K$10,$L15,$W$10,$W15),_xll.BDP($B15,Z$10,$S$10,$T15,$M$10,$P15,$K$10,$L15,$W$10,$W15))</f>
        <v>5.6839605797004644</v>
      </c>
      <c r="AA15" s="165" cm="1">
        <f t="array" ref="AA15">IF(W15&lt;&gt;"",_xll.BDP($B15,AA$10,$M$10,$P15,$K$10,$L15,$W$10,$W15),_xll.BDP($B15,AA$10,$S$10,$T15,$M$10,$P15,$K$10,$L15,$W$10,$W15))</f>
        <v>4.9930388427889829</v>
      </c>
      <c r="AB15" s="165" cm="1">
        <f t="array" ref="AB15">IF(W15&lt;&gt;"",_xll.BDP($B15,AB$10,$M$10,$P15,$K$10,$L15,$W$10,$W15),_xll.BDP($B15,AB$10,$S$10,$T15,$M$10,$P15,$K$10,$L15,$W$10,$W15))</f>
        <v>0.38925524955889373</v>
      </c>
      <c r="AC15" s="165" cm="1">
        <f t="array" ref="AC15">IF(W15&lt;&gt;"",_xll.BDP($B15,AC$10,$M$10,$P15,$K$10,$L15,$W$10,$W15),_xll.BDP($B15,AC$10,$S$10,$T15,$M$10,$P15,$K$10,$L15,$W$10,$W15))</f>
        <v>42.801663000005874</v>
      </c>
      <c r="AD15" s="166" cm="1">
        <f t="array" ref="AD15">IF($B15="","",_xll.BDH($B15,AD$10,_xlfn.SINGLE(_xll.BTODAY())-1,_xlfn.SINGLE(_xll.BTODAY())-1,"pcs","TUNE"))</f>
        <v>14.533799999999999</v>
      </c>
      <c r="AE15" s="193" cm="1">
        <f t="array" ref="AE15">IF($B15="","",_xll.BDH($B15,AE$10,_xlfn.SINGLE(_xll.BTODAY())-1,_xlfn.SINGLE(_xll.BTODAY())-1,"pcs","TUNE"))</f>
        <v>13.5747</v>
      </c>
    </row>
    <row r="16" spans="2:31" x14ac:dyDescent="0.25">
      <c r="B16" s="182"/>
      <c r="C16" s="150"/>
      <c r="D16" s="151" t="e" cm="1">
        <f t="array" ref="D16">_xll.BDP($B16,D$10)/100</f>
        <v>#VALUE!</v>
      </c>
      <c r="E16" s="152" t="str" cm="1">
        <f t="array" ref="E16">_xll.BDP($B16,E$10)</f>
        <v>#N/A Mandatory parameter [SECURITY] cannot be empty</v>
      </c>
      <c r="F16" s="153" t="str" cm="1">
        <f t="array" ref="F16">IF(E16="ZERO COUPON","",_xll.BDP($B16,F$10))</f>
        <v>#N/A Mandatory parameter [SECURITY] cannot be empty</v>
      </c>
      <c r="G16" s="154" t="e">
        <f>IF(OR(F16=0,E16="ZERO COUPON"),"",_xll.BDP($B16,G$10,$M$10,P16)*1)</f>
        <v>#VALUE!</v>
      </c>
      <c r="H16" s="154" t="e" cm="1">
        <f t="array" ref="H16">_xll.BDP($B16,H$10)*1</f>
        <v>#VALUE!</v>
      </c>
      <c r="I16" s="150" t="str" cm="1">
        <f t="array" ref="I16">_xll.BDP($B16,I$10)</f>
        <v>#N/A Mandatory parameter [SECURITY] cannot be empty</v>
      </c>
      <c r="J16" s="150" t="str" cm="1">
        <f t="array" ref="J16">_xll.BDP($B16,J$10)</f>
        <v>#N/A Mandatory parameter [SECURITY] cannot be empty</v>
      </c>
      <c r="K16" s="155" t="str" cm="1">
        <f t="array" ref="K16">IF(B16="","",_xll.BDP($B16,K$10))</f>
        <v/>
      </c>
      <c r="L16" s="170"/>
      <c r="M16" s="156" t="e" cm="1">
        <f t="array" ref="M16">_xll.BDP($B16,M$10)*1</f>
        <v>#VALUE!</v>
      </c>
      <c r="N16" s="157" t="e">
        <f>IF(O16="",_xll.BADDPERIODS(M16,"CDR=BZ","Per=wd","NumberOfPeriods=-2"),_xll.BADDPERIODS(O16,"CDR=BZ","Per=wd","NumberOfPeriods=-2"))</f>
        <v>#VALUE!</v>
      </c>
      <c r="O16" s="170"/>
      <c r="P16" s="158" t="e">
        <f t="shared" si="0"/>
        <v>#VALUE!</v>
      </c>
      <c r="Q16" s="159" t="e">
        <f>TEXT(YEAR(_xll.BADDPERIODS(N16,"CDR=BZ","Per=wd","NumberOfPeriods=2"))*10000+MONTH(_xll.BADDPERIODS(N16,"CDR=BZ","Per=wd","NumberOfPeriods=2"))*100+DAY(_xll.BADDPERIODS(N16,"CDR=BZ","Per=wd","NumberOfPeriods=2")),"00000000")</f>
        <v>#VALUE!</v>
      </c>
      <c r="R16" s="160" t="e">
        <f>_xll.BDP($B16,$R$10,$M$10,P16)</f>
        <v>#VALUE!</v>
      </c>
      <c r="S16" s="161" t="e">
        <f>IF(OR(UPPER(K16)="ANDE",UPPER(L16)="ANDE"),_xll.BDP($B16,$S$10,$K$10,L16,$W$10,W16,$P$10,Q16),_xll.BDP($B16,$S$10,$K$10,L16,$W$10,W16,$P$10,P16))</f>
        <v>#VALUE!</v>
      </c>
      <c r="T16" s="170"/>
      <c r="U16" s="162" t="e">
        <f>IF(W16="",IF(T16="",_xll.BDP($B16,U$10,$S$10,$S16,$K$10,$L16,$M$10,$P16),_xll.BDP($B16,U$10,$S$10,$T16,$M$10,$Q16,$K$10,$L16)),"-")</f>
        <v>#VALUE!</v>
      </c>
      <c r="V16" s="163" t="e">
        <f t="shared" si="1"/>
        <v>#VALUE!</v>
      </c>
      <c r="W16" s="170"/>
      <c r="X16" s="162" t="e">
        <f>IF(W16&lt;&gt;"",_xll.BDP($B16,X$10,$M$10,$P16,$K$10,$L16,$W$10,$W16)/10,_xll.BDP($B16,X$10,$S$10,$T16,$M$10,$P16,$K$10,$L16,$W$10,$W16)/10)</f>
        <v>#VALUE!</v>
      </c>
      <c r="Y16" s="164" t="e">
        <f>IF(W16&lt;&gt;"",_xll.BDP($B16,Y$10,$M$10,$P16,$K$10,$L16,$W$10,$W16)/10,_xll.BDP($B16,Y$10,$S$10,$T16,$M$10,$P16,$K$10,$L16,$W$10,$W16)/10)</f>
        <v>#VALUE!</v>
      </c>
      <c r="Z16" s="165" t="e">
        <f>IF(W16&lt;&gt;"",_xll.BDP($B16,Z$10,$M$10,$P16,$K$10,$L16,$W$10,$W16),_xll.BDP($B16,Z$10,$S$10,$T16,$M$10,$P16,$K$10,$L16,$W$10,$W16))</f>
        <v>#VALUE!</v>
      </c>
      <c r="AA16" s="165" t="e">
        <f>IF(W16&lt;&gt;"",_xll.BDP($B16,AA$10,$M$10,$P16,$K$10,$L16,$W$10,$W16),_xll.BDP($B16,AA$10,$S$10,$T16,$M$10,$P16,$K$10,$L16,$W$10,$W16))</f>
        <v>#VALUE!</v>
      </c>
      <c r="AB16" s="165" t="e">
        <f>IF(W16&lt;&gt;"",_xll.BDP($B16,AB$10,$M$10,$P16,$K$10,$L16,$W$10,$W16),_xll.BDP($B16,AB$10,$S$10,$T16,$M$10,$P16,$K$10,$L16,$W$10,$W16))</f>
        <v>#VALUE!</v>
      </c>
      <c r="AC16" s="165" t="e">
        <f>IF(W16&lt;&gt;"",_xll.BDP($B16,AC$10,$M$10,$P16,$K$10,$L16,$W$10,$W16),_xll.BDP($B16,AC$10,$S$10,$T16,$M$10,$P16,$K$10,$L16,$W$10,$W16))</f>
        <v>#VALUE!</v>
      </c>
      <c r="AD16" s="166" t="str" cm="1">
        <f t="array" ref="AD16">IF($B16="","",_xll.BDH($B16,AD$10,_xlfn.SINGLE(_xll.BTODAY())-1,_xlfn.SINGLE(_xll.BTODAY())-1,"pcs","TUNE"))</f>
        <v/>
      </c>
      <c r="AE16" s="193" t="str" cm="1">
        <f t="array" ref="AE16">IF($B16="","",_xll.BDH($B16,AE$10,_xlfn.SINGLE(_xll.BTODAY())-1,_xlfn.SINGLE(_xll.BTODAY())-1,"pcs","TUNE"))</f>
        <v/>
      </c>
    </row>
    <row r="17" spans="2:31" x14ac:dyDescent="0.25">
      <c r="B17" s="182"/>
      <c r="C17" s="150"/>
      <c r="D17" s="151" t="e" cm="1">
        <f t="array" ref="D17">_xll.BDP($B17,D$10)/100</f>
        <v>#VALUE!</v>
      </c>
      <c r="E17" s="152" t="str" cm="1">
        <f t="array" ref="E17">_xll.BDP($B17,E$10)</f>
        <v>#N/A Mandatory parameter [SECURITY] cannot be empty</v>
      </c>
      <c r="F17" s="153" t="str" cm="1">
        <f t="array" ref="F17">IF(E17="ZERO COUPON","",_xll.BDP($B17,F$10))</f>
        <v>#N/A Mandatory parameter [SECURITY] cannot be empty</v>
      </c>
      <c r="G17" s="154" t="e">
        <f>IF(OR(F17=0,E17="ZERO COUPON"),"",_xll.BDP($B17,G$10,$M$10,P17)*1)</f>
        <v>#VALUE!</v>
      </c>
      <c r="H17" s="154" t="e" cm="1">
        <f t="array" ref="H17">_xll.BDP($B17,H$10)*1</f>
        <v>#VALUE!</v>
      </c>
      <c r="I17" s="150" t="str" cm="1">
        <f t="array" ref="I17">_xll.BDP($B17,I$10)</f>
        <v>#N/A Mandatory parameter [SECURITY] cannot be empty</v>
      </c>
      <c r="J17" s="150" t="str" cm="1">
        <f t="array" ref="J17">_xll.BDP($B17,J$10)</f>
        <v>#N/A Mandatory parameter [SECURITY] cannot be empty</v>
      </c>
      <c r="K17" s="155" t="str">
        <f>IF(B17="","",_xll.BDP($B17,K$10))</f>
        <v/>
      </c>
      <c r="L17" s="170"/>
      <c r="M17" s="156" t="e" cm="1">
        <f t="array" ref="M17">_xll.BDP($B17,M$10)*1</f>
        <v>#VALUE!</v>
      </c>
      <c r="N17" s="157" t="e">
        <f>IF(O17="",_xll.BADDPERIODS(M17,"CDR=BZ","Per=wd","NumberOfPeriods=-2"),_xll.BADDPERIODS(O17,"CDR=BZ","Per=wd","NumberOfPeriods=-2"))</f>
        <v>#VALUE!</v>
      </c>
      <c r="O17" s="170"/>
      <c r="P17" s="158" t="e">
        <f t="shared" si="0"/>
        <v>#VALUE!</v>
      </c>
      <c r="Q17" s="159" t="e">
        <f>TEXT(YEAR(_xll.BADDPERIODS(N17,"CDR=BZ","Per=wd","NumberOfPeriods=2"))*10000+MONTH(_xll.BADDPERIODS(N17,"CDR=BZ","Per=wd","NumberOfPeriods=2"))*100+DAY(_xll.BADDPERIODS(N17,"CDR=BZ","Per=wd","NumberOfPeriods=2")),"00000000")</f>
        <v>#VALUE!</v>
      </c>
      <c r="R17" s="160" t="e">
        <f>_xll.BDP($B17,$R$10,$M$10,P17)</f>
        <v>#VALUE!</v>
      </c>
      <c r="S17" s="161" t="e">
        <f>IF(OR(UPPER(K17)="ANDE",UPPER(L17)="ANDE"),_xll.BDP($B17,$S$10,$K$10,L17,$W$10,W17,$P$10,Q17),_xll.BDP($B17,$S$10,$K$10,L17,$W$10,W17,$P$10,P17))</f>
        <v>#VALUE!</v>
      </c>
      <c r="T17" s="170"/>
      <c r="U17" s="162" t="e">
        <f>IF(W17="",IF(T17="",_xll.BDP($B17,U$10,$S$10,$S17,$K$10,$L17,$M$10,$P17),_xll.BDP($B17,U$10,$S$10,$T17,$M$10,$Q17,$K$10,$L17)),"-")</f>
        <v>#VALUE!</v>
      </c>
      <c r="V17" s="163" t="e">
        <f t="shared" si="1"/>
        <v>#VALUE!</v>
      </c>
      <c r="W17" s="170"/>
      <c r="X17" s="162" t="e">
        <f>IF(W17&lt;&gt;"",_xll.BDP($B17,X$10,$M$10,$P17,$K$10,$L17,$W$10,$W17)/10,_xll.BDP($B17,X$10,$S$10,$T17,$M$10,$P17,$K$10,$L17,$W$10,$W17)/10)</f>
        <v>#VALUE!</v>
      </c>
      <c r="Y17" s="164" t="e">
        <f>IF(W17&lt;&gt;"",_xll.BDP($B17,Y$10,$M$10,$P17,$K$10,$L17,$W$10,$W17)/10,_xll.BDP($B17,Y$10,$S$10,$T17,$M$10,$P17,$K$10,$L17,$W$10,$W17)/10)</f>
        <v>#VALUE!</v>
      </c>
      <c r="Z17" s="165" t="e">
        <f>IF(W17&lt;&gt;"",_xll.BDP($B17,Z$10,$M$10,$P17,$K$10,$L17,$W$10,$W17),_xll.BDP($B17,Z$10,$S$10,$T17,$M$10,$P17,$K$10,$L17,$W$10,$W17))</f>
        <v>#VALUE!</v>
      </c>
      <c r="AA17" s="165" t="e">
        <f>IF(W17&lt;&gt;"",_xll.BDP($B17,AA$10,$M$10,$P17,$K$10,$L17,$W$10,$W17),_xll.BDP($B17,AA$10,$S$10,$T17,$M$10,$P17,$K$10,$L17,$W$10,$W17))</f>
        <v>#VALUE!</v>
      </c>
      <c r="AB17" s="165" t="e">
        <f>IF(W17&lt;&gt;"",_xll.BDP($B17,AB$10,$M$10,$P17,$K$10,$L17,$W$10,$W17),_xll.BDP($B17,AB$10,$S$10,$T17,$M$10,$P17,$K$10,$L17,$W$10,$W17))</f>
        <v>#VALUE!</v>
      </c>
      <c r="AC17" s="165" t="e">
        <f>IF(W17&lt;&gt;"",_xll.BDP($B17,AC$10,$M$10,$P17,$K$10,$L17,$W$10,$W17),_xll.BDP($B17,AC$10,$S$10,$T17,$M$10,$P17,$K$10,$L17,$W$10,$W17))</f>
        <v>#VALUE!</v>
      </c>
      <c r="AD17" s="166" t="str">
        <f>IF($B17="","",_xll.BDH($B17,AD$10,_xll.BTODAY()-1,_xll.BTODAY()-1,"pcs","TUNE"))</f>
        <v/>
      </c>
      <c r="AE17" s="193" t="str">
        <f>IF($B17="","",_xll.BDH($B17,AE$10,_xll.BTODAY()-1,_xll.BTODAY()-1,"pcs","TUNE"))</f>
        <v/>
      </c>
    </row>
    <row r="18" spans="2:31" x14ac:dyDescent="0.25">
      <c r="B18" s="182"/>
      <c r="C18" s="150"/>
      <c r="D18" s="151" t="e" cm="1">
        <f t="array" ref="D18">_xll.BDP($B18,D$10)/100</f>
        <v>#VALUE!</v>
      </c>
      <c r="E18" s="152" t="str" cm="1">
        <f t="array" ref="E18">_xll.BDP($B18,E$10)</f>
        <v>#N/A Mandatory parameter [SECURITY] cannot be empty</v>
      </c>
      <c r="F18" s="153" t="str" cm="1">
        <f t="array" ref="F18">IF(E18="ZERO COUPON","",_xll.BDP($B18,F$10))</f>
        <v>#N/A Mandatory parameter [SECURITY] cannot be empty</v>
      </c>
      <c r="G18" s="154" t="e">
        <f>IF(OR(F18=0,E18="ZERO COUPON"),"",_xll.BDP($B18,G$10,$M$10,P18)*1)</f>
        <v>#VALUE!</v>
      </c>
      <c r="H18" s="154" t="e" cm="1">
        <f t="array" ref="H18">_xll.BDP($B18,H$10)*1</f>
        <v>#VALUE!</v>
      </c>
      <c r="I18" s="150" t="str" cm="1">
        <f t="array" ref="I18">_xll.BDP($B18,I$10)</f>
        <v>#N/A Mandatory parameter [SECURITY] cannot be empty</v>
      </c>
      <c r="J18" s="150" t="str" cm="1">
        <f t="array" ref="J18">_xll.BDP($B18,J$10)</f>
        <v>#N/A Mandatory parameter [SECURITY] cannot be empty</v>
      </c>
      <c r="K18" s="155" t="str">
        <f>IF(B18="","",_xll.BDP($B18,K$10))</f>
        <v/>
      </c>
      <c r="L18" s="170"/>
      <c r="M18" s="156" t="e" cm="1">
        <f t="array" ref="M18">_xll.BDP($B18,M$10)*1</f>
        <v>#VALUE!</v>
      </c>
      <c r="N18" s="157" t="e">
        <f>IF(O18="",_xll.BADDPERIODS(M18,"CDR=BZ","Per=wd","NumberOfPeriods=-2"),_xll.BADDPERIODS(O18,"CDR=BZ","Per=wd","NumberOfPeriods=-2"))</f>
        <v>#VALUE!</v>
      </c>
      <c r="O18" s="170"/>
      <c r="P18" s="158" t="e">
        <f t="shared" si="0"/>
        <v>#VALUE!</v>
      </c>
      <c r="Q18" s="159" t="e">
        <f>TEXT(YEAR(_xll.BADDPERIODS(N18,"CDR=BZ","Per=wd","NumberOfPeriods=2"))*10000+MONTH(_xll.BADDPERIODS(N18,"CDR=BZ","Per=wd","NumberOfPeriods=2"))*100+DAY(_xll.BADDPERIODS(N18,"CDR=BZ","Per=wd","NumberOfPeriods=2")),"00000000")</f>
        <v>#VALUE!</v>
      </c>
      <c r="R18" s="160" t="e">
        <f>_xll.BDP($B18,$R$10,$M$10,P18)</f>
        <v>#VALUE!</v>
      </c>
      <c r="S18" s="161" t="e">
        <f>IF(OR(UPPER(K18)="ANDE",UPPER(L18)="ANDE"),_xll.BDP($B18,$S$10,$K$10,L18,$W$10,W18,$P$10,Q18),_xll.BDP($B18,$S$10,$K$10,L18,$W$10,W18,$P$10,P18))</f>
        <v>#VALUE!</v>
      </c>
      <c r="T18" s="170"/>
      <c r="U18" s="162" t="e">
        <f>IF(W18="",IF(T18="",_xll.BDP($B18,U$10,$S$10,$S18,$K$10,$L18,$M$10,$P18),_xll.BDP($B18,U$10,$S$10,$T18,$M$10,$Q18,$K$10,$L18)),"-")</f>
        <v>#VALUE!</v>
      </c>
      <c r="V18" s="163" t="e">
        <f t="shared" si="1"/>
        <v>#VALUE!</v>
      </c>
      <c r="W18" s="170"/>
      <c r="X18" s="162" t="e">
        <f>IF(W18&lt;&gt;"",_xll.BDP($B18,X$10,$M$10,$P18,$K$10,$L18,$W$10,$W18)/10,_xll.BDP($B18,X$10,$S$10,$T18,$M$10,$P18,$K$10,$L18,$W$10,$W18)/10)</f>
        <v>#VALUE!</v>
      </c>
      <c r="Y18" s="164" t="e">
        <f>IF(W18&lt;&gt;"",_xll.BDP($B18,Y$10,$M$10,$P18,$K$10,$L18,$W$10,$W18)/10,_xll.BDP($B18,Y$10,$S$10,$T18,$M$10,$P18,$K$10,$L18,$W$10,$W18)/10)</f>
        <v>#VALUE!</v>
      </c>
      <c r="Z18" s="165" t="e">
        <f>IF(W18&lt;&gt;"",_xll.BDP($B18,Z$10,$M$10,$P18,$K$10,$L18,$W$10,$W18),_xll.BDP($B18,Z$10,$S$10,$T18,$M$10,$P18,$K$10,$L18,$W$10,$W18))</f>
        <v>#VALUE!</v>
      </c>
      <c r="AA18" s="165" t="e">
        <f>IF(W18&lt;&gt;"",_xll.BDP($B18,AA$10,$M$10,$P18,$K$10,$L18,$W$10,$W18),_xll.BDP($B18,AA$10,$S$10,$T18,$M$10,$P18,$K$10,$L18,$W$10,$W18))</f>
        <v>#VALUE!</v>
      </c>
      <c r="AB18" s="165" t="e">
        <f>IF(W18&lt;&gt;"",_xll.BDP($B18,AB$10,$M$10,$P18,$K$10,$L18,$W$10,$W18),_xll.BDP($B18,AB$10,$S$10,$T18,$M$10,$P18,$K$10,$L18,$W$10,$W18))</f>
        <v>#VALUE!</v>
      </c>
      <c r="AC18" s="165" t="e">
        <f>IF(W18&lt;&gt;"",_xll.BDP($B18,AC$10,$M$10,$P18,$K$10,$L18,$W$10,$W18),_xll.BDP($B18,AC$10,$S$10,$T18,$M$10,$P18,$K$10,$L18,$W$10,$W18))</f>
        <v>#VALUE!</v>
      </c>
      <c r="AD18" s="166" t="str">
        <f>IF($B18="","",_xll.BDH($B18,AD$10,_xll.BTODAY()-1,_xll.BTODAY()-1,"pcs","TUNE"))</f>
        <v/>
      </c>
      <c r="AE18" s="193" t="str">
        <f>IF($B18="","",_xll.BDH($B18,AE$10,_xll.BTODAY()-1,_xll.BTODAY()-1,"pcs","TUNE"))</f>
        <v/>
      </c>
    </row>
    <row r="19" spans="2:31" x14ac:dyDescent="0.25">
      <c r="B19" s="182"/>
      <c r="C19" s="150"/>
      <c r="D19" s="151" t="e" cm="1">
        <f t="array" ref="D19">_xll.BDP($B19,D$10)/100</f>
        <v>#VALUE!</v>
      </c>
      <c r="E19" s="152" t="str" cm="1">
        <f t="array" ref="E19">_xll.BDP($B19,E$10)</f>
        <v>#N/A Mandatory parameter [SECURITY] cannot be empty</v>
      </c>
      <c r="F19" s="153" t="str" cm="1">
        <f t="array" ref="F19">IF(E19="ZERO COUPON","",_xll.BDP($B19,F$10))</f>
        <v>#N/A Mandatory parameter [SECURITY] cannot be empty</v>
      </c>
      <c r="G19" s="154" t="e">
        <f>IF(OR(F19=0,E19="ZERO COUPON"),"",_xll.BDP($B19,G$10,$M$10,P19)*1)</f>
        <v>#VALUE!</v>
      </c>
      <c r="H19" s="154" t="e" cm="1">
        <f t="array" ref="H19">_xll.BDP($B19,H$10)*1</f>
        <v>#VALUE!</v>
      </c>
      <c r="I19" s="150" t="str" cm="1">
        <f t="array" ref="I19">_xll.BDP($B19,I$10)</f>
        <v>#N/A Mandatory parameter [SECURITY] cannot be empty</v>
      </c>
      <c r="J19" s="150" t="str" cm="1">
        <f t="array" ref="J19">_xll.BDP($B19,J$10)</f>
        <v>#N/A Mandatory parameter [SECURITY] cannot be empty</v>
      </c>
      <c r="K19" s="155" t="str">
        <f>IF(B19="","",_xll.BDP($B19,K$10))</f>
        <v/>
      </c>
      <c r="L19" s="170"/>
      <c r="M19" s="156" t="e" cm="1">
        <f t="array" ref="M19">_xll.BDP($B19,M$10)*1</f>
        <v>#VALUE!</v>
      </c>
      <c r="N19" s="157" t="e">
        <f>IF(O19="",_xll.BADDPERIODS(M19,"CDR=BZ","Per=wd","NumberOfPeriods=-2"),_xll.BADDPERIODS(O19,"CDR=BZ","Per=wd","NumberOfPeriods=-2"))</f>
        <v>#VALUE!</v>
      </c>
      <c r="O19" s="170"/>
      <c r="P19" s="158" t="e">
        <f t="shared" si="0"/>
        <v>#VALUE!</v>
      </c>
      <c r="Q19" s="159" t="e">
        <f>TEXT(YEAR(_xll.BADDPERIODS(N19,"CDR=BZ","Per=wd","NumberOfPeriods=2"))*10000+MONTH(_xll.BADDPERIODS(N19,"CDR=BZ","Per=wd","NumberOfPeriods=2"))*100+DAY(_xll.BADDPERIODS(N19,"CDR=BZ","Per=wd","NumberOfPeriods=2")),"00000000")</f>
        <v>#VALUE!</v>
      </c>
      <c r="R19" s="160" t="e">
        <f>_xll.BDP($B19,$R$10,$M$10,P19)</f>
        <v>#VALUE!</v>
      </c>
      <c r="S19" s="161" t="e">
        <f>IF(OR(UPPER(K19)="ANDE",UPPER(L19)="ANDE"),_xll.BDP($B19,$S$10,$K$10,L19,$W$10,W19,$P$10,Q19),_xll.BDP($B19,$S$10,$K$10,L19,$W$10,W19,$P$10,P19))</f>
        <v>#VALUE!</v>
      </c>
      <c r="T19" s="170"/>
      <c r="U19" s="162" t="e">
        <f>IF(W19="",IF(T19="",_xll.BDP($B19,U$10,$S$10,$S19,$K$10,$L19,$M$10,$P19),_xll.BDP($B19,U$10,$S$10,$T19,$M$10,$Q19,$K$10,$L19)),"-")</f>
        <v>#VALUE!</v>
      </c>
      <c r="V19" s="163" t="e">
        <f t="shared" si="1"/>
        <v>#VALUE!</v>
      </c>
      <c r="W19" s="170"/>
      <c r="X19" s="162" t="e">
        <f>IF(W19&lt;&gt;"",_xll.BDP($B19,X$10,$M$10,$P19,$K$10,$L19,$W$10,$W19)/10,_xll.BDP($B19,X$10,$S$10,$T19,$M$10,$P19,$K$10,$L19,$W$10,$W19)/10)</f>
        <v>#VALUE!</v>
      </c>
      <c r="Y19" s="164" t="e">
        <f>IF(W19&lt;&gt;"",_xll.BDP($B19,Y$10,$M$10,$P19,$K$10,$L19,$W$10,$W19)/10,_xll.BDP($B19,Y$10,$S$10,$T19,$M$10,$P19,$K$10,$L19,$W$10,$W19)/10)</f>
        <v>#VALUE!</v>
      </c>
      <c r="Z19" s="165" t="e">
        <f>IF(W19&lt;&gt;"",_xll.BDP($B19,Z$10,$M$10,$P19,$K$10,$L19,$W$10,$W19),_xll.BDP($B19,Z$10,$S$10,$T19,$M$10,$P19,$K$10,$L19,$W$10,$W19))</f>
        <v>#VALUE!</v>
      </c>
      <c r="AA19" s="165" t="e">
        <f>IF(W19&lt;&gt;"",_xll.BDP($B19,AA$10,$M$10,$P19,$K$10,$L19,$W$10,$W19),_xll.BDP($B19,AA$10,$S$10,$T19,$M$10,$P19,$K$10,$L19,$W$10,$W19))</f>
        <v>#VALUE!</v>
      </c>
      <c r="AB19" s="165" t="e">
        <f>IF(W19&lt;&gt;"",_xll.BDP($B19,AB$10,$M$10,$P19,$K$10,$L19,$W$10,$W19),_xll.BDP($B19,AB$10,$S$10,$T19,$M$10,$P19,$K$10,$L19,$W$10,$W19))</f>
        <v>#VALUE!</v>
      </c>
      <c r="AC19" s="165" t="e">
        <f>IF(W19&lt;&gt;"",_xll.BDP($B19,AC$10,$M$10,$P19,$K$10,$L19,$W$10,$W19),_xll.BDP($B19,AC$10,$S$10,$T19,$M$10,$P19,$K$10,$L19,$W$10,$W19))</f>
        <v>#VALUE!</v>
      </c>
      <c r="AD19" s="166" t="str">
        <f>IF($B19="","",_xll.BDH($B19,AD$10,_xll.BTODAY()-1,_xll.BTODAY()-1,"pcs","TUNE"))</f>
        <v/>
      </c>
      <c r="AE19" s="193" t="str">
        <f>IF($B19="","",_xll.BDH($B19,AE$10,_xll.BTODAY()-1,_xll.BTODAY()-1,"pcs","TUNE"))</f>
        <v/>
      </c>
    </row>
    <row r="20" spans="2:31" x14ac:dyDescent="0.25">
      <c r="B20" s="182"/>
      <c r="C20" s="150"/>
      <c r="D20" s="151" t="e" cm="1">
        <f t="array" ref="D20">_xll.BDP($B20,D$10)/100</f>
        <v>#VALUE!</v>
      </c>
      <c r="E20" s="152" t="str" cm="1">
        <f t="array" ref="E20">_xll.BDP($B20,E$10)</f>
        <v>#N/A Mandatory parameter [SECURITY] cannot be empty</v>
      </c>
      <c r="F20" s="153" t="str" cm="1">
        <f t="array" ref="F20">IF(E20="ZERO COUPON","",_xll.BDP($B20,F$10))</f>
        <v>#N/A Mandatory parameter [SECURITY] cannot be empty</v>
      </c>
      <c r="G20" s="154" t="e">
        <f>IF(OR(F20=0,E20="ZERO COUPON"),"",_xll.BDP($B20,G$10,$M$10,P20)*1)</f>
        <v>#VALUE!</v>
      </c>
      <c r="H20" s="154" t="e" cm="1">
        <f t="array" ref="H20">_xll.BDP($B20,H$10)*1</f>
        <v>#VALUE!</v>
      </c>
      <c r="I20" s="150" t="str" cm="1">
        <f t="array" ref="I20">_xll.BDP($B20,I$10)</f>
        <v>#N/A Mandatory parameter [SECURITY] cannot be empty</v>
      </c>
      <c r="J20" s="150" t="str" cm="1">
        <f t="array" ref="J20">_xll.BDP($B20,J$10)</f>
        <v>#N/A Mandatory parameter [SECURITY] cannot be empty</v>
      </c>
      <c r="K20" s="155" t="str">
        <f>IF(B20="","",_xll.BDP($B20,K$10))</f>
        <v/>
      </c>
      <c r="L20" s="170"/>
      <c r="M20" s="156" t="e" cm="1">
        <f t="array" ref="M20">_xll.BDP($B20,M$10)*1</f>
        <v>#VALUE!</v>
      </c>
      <c r="N20" s="157" t="e">
        <f>IF(O20="",_xll.BADDPERIODS(M20,"CDR=BZ","Per=wd","NumberOfPeriods=-2"),_xll.BADDPERIODS(O20,"CDR=BZ","Per=wd","NumberOfPeriods=-2"))</f>
        <v>#VALUE!</v>
      </c>
      <c r="O20" s="170"/>
      <c r="P20" s="158" t="e">
        <f t="shared" si="0"/>
        <v>#VALUE!</v>
      </c>
      <c r="Q20" s="159" t="e">
        <f>TEXT(YEAR(_xll.BADDPERIODS(N20,"CDR=BZ","Per=wd","NumberOfPeriods=2"))*10000+MONTH(_xll.BADDPERIODS(N20,"CDR=BZ","Per=wd","NumberOfPeriods=2"))*100+DAY(_xll.BADDPERIODS(N20,"CDR=BZ","Per=wd","NumberOfPeriods=2")),"00000000")</f>
        <v>#VALUE!</v>
      </c>
      <c r="R20" s="160" t="e">
        <f>_xll.BDP($B20,$R$10,$M$10,P20)</f>
        <v>#VALUE!</v>
      </c>
      <c r="S20" s="161" t="e">
        <f>IF(OR(UPPER(K20)="ANDE",UPPER(L20)="ANDE"),_xll.BDP($B20,$S$10,$K$10,L20,$W$10,W20,$P$10,Q20),_xll.BDP($B20,$S$10,$K$10,L20,$W$10,W20,$P$10,P20))</f>
        <v>#VALUE!</v>
      </c>
      <c r="T20" s="170"/>
      <c r="U20" s="162" t="e">
        <f>IF(W20="",IF(T20="",_xll.BDP($B20,U$10,$S$10,$S20,$K$10,$L20,$M$10,$P20),_xll.BDP($B20,U$10,$S$10,$T20,$M$10,$Q20,$K$10,$L20)),"-")</f>
        <v>#VALUE!</v>
      </c>
      <c r="V20" s="163" t="e">
        <f t="shared" si="1"/>
        <v>#VALUE!</v>
      </c>
      <c r="W20" s="170"/>
      <c r="X20" s="162" t="e">
        <f>IF(W20&lt;&gt;"",_xll.BDP($B20,X$10,$M$10,$P20,$K$10,$L20,$W$10,$W20)/10,_xll.BDP($B20,X$10,$S$10,$T20,$M$10,$P20,$K$10,$L20,$W$10,$W20)/10)</f>
        <v>#VALUE!</v>
      </c>
      <c r="Y20" s="164" t="e">
        <f>IF(W20&lt;&gt;"",_xll.BDP($B20,Y$10,$M$10,$P20,$K$10,$L20,$W$10,$W20)/10,_xll.BDP($B20,Y$10,$S$10,$T20,$M$10,$P20,$K$10,$L20,$W$10,$W20)/10)</f>
        <v>#VALUE!</v>
      </c>
      <c r="Z20" s="165" t="e">
        <f>IF(W20&lt;&gt;"",_xll.BDP($B20,Z$10,$M$10,$P20,$K$10,$L20,$W$10,$W20),_xll.BDP($B20,Z$10,$S$10,$T20,$M$10,$P20,$K$10,$L20,$W$10,$W20))</f>
        <v>#VALUE!</v>
      </c>
      <c r="AA20" s="165" t="e">
        <f>IF(W20&lt;&gt;"",_xll.BDP($B20,AA$10,$M$10,$P20,$K$10,$L20,$W$10,$W20),_xll.BDP($B20,AA$10,$S$10,$T20,$M$10,$P20,$K$10,$L20,$W$10,$W20))</f>
        <v>#VALUE!</v>
      </c>
      <c r="AB20" s="165" t="e">
        <f>IF(W20&lt;&gt;"",_xll.BDP($B20,AB$10,$M$10,$P20,$K$10,$L20,$W$10,$W20),_xll.BDP($B20,AB$10,$S$10,$T20,$M$10,$P20,$K$10,$L20,$W$10,$W20))</f>
        <v>#VALUE!</v>
      </c>
      <c r="AC20" s="165" t="e">
        <f>IF(W20&lt;&gt;"",_xll.BDP($B20,AC$10,$M$10,$P20,$K$10,$L20,$W$10,$W20),_xll.BDP($B20,AC$10,$S$10,$T20,$M$10,$P20,$K$10,$L20,$W$10,$W20))</f>
        <v>#VALUE!</v>
      </c>
      <c r="AD20" s="166" t="str">
        <f>IF($B20="","",_xll.BDH($B20,AD$10,_xll.BTODAY()-1,_xll.BTODAY()-1,"pcs","TUNE"))</f>
        <v/>
      </c>
      <c r="AE20" s="193" t="str">
        <f>IF($B20="","",_xll.BDH($B20,AE$10,_xll.BTODAY()-1,_xll.BTODAY()-1,"pcs","TUNE"))</f>
        <v/>
      </c>
    </row>
    <row r="21" spans="2:31" x14ac:dyDescent="0.25">
      <c r="B21" s="194"/>
      <c r="C21" s="195"/>
      <c r="D21" s="196" t="e" cm="1">
        <f t="array" ref="D21">_xll.BDP($B21,D$10)/100</f>
        <v>#VALUE!</v>
      </c>
      <c r="E21" s="197" t="str" cm="1">
        <f t="array" ref="E21">_xll.BDP($B21,E$10)</f>
        <v>#N/A Mandatory parameter [SECURITY] cannot be empty</v>
      </c>
      <c r="F21" s="198" t="str" cm="1">
        <f t="array" ref="F21">IF(E21="ZERO COUPON","",_xll.BDP($B21,F$10))</f>
        <v>#N/A Mandatory parameter [SECURITY] cannot be empty</v>
      </c>
      <c r="G21" s="199" t="e">
        <f>IF(OR(F21=0,E21="ZERO COUPON"),"",_xll.BDP($B21,G$10,$M$10,P21)*1)</f>
        <v>#VALUE!</v>
      </c>
      <c r="H21" s="199" t="e" cm="1">
        <f t="array" ref="H21">_xll.BDP($B21,H$10)*1</f>
        <v>#VALUE!</v>
      </c>
      <c r="I21" s="195" t="str" cm="1">
        <f t="array" ref="I21">_xll.BDP($B21,I$10)</f>
        <v>#N/A Mandatory parameter [SECURITY] cannot be empty</v>
      </c>
      <c r="J21" s="195" t="str" cm="1">
        <f t="array" ref="J21">_xll.BDP($B21,J$10)</f>
        <v>#N/A Mandatory parameter [SECURITY] cannot be empty</v>
      </c>
      <c r="K21" s="219" t="str">
        <f>IF(B21="","",_xll.BDP($B21,K$10))</f>
        <v/>
      </c>
      <c r="L21" s="200"/>
      <c r="M21" s="220" t="e" cm="1">
        <f t="array" ref="M21">_xll.BDP($B21,M$10)*1</f>
        <v>#VALUE!</v>
      </c>
      <c r="N21" s="202" t="e">
        <f>IF(O21="",_xll.BADDPERIODS(M21,"CDR=BZ","Per=wd","NumberOfPeriods=-2"),_xll.BADDPERIODS(O21,"CDR=BZ","Per=wd","NumberOfPeriods=-2"))</f>
        <v>#VALUE!</v>
      </c>
      <c r="O21" s="200"/>
      <c r="P21" s="203" t="e">
        <f t="shared" si="0"/>
        <v>#VALUE!</v>
      </c>
      <c r="Q21" s="204" t="e">
        <f>TEXT(YEAR(_xll.BADDPERIODS(N21,"CDR=BZ","Per=wd","NumberOfPeriods=2"))*10000+MONTH(_xll.BADDPERIODS(N21,"CDR=BZ","Per=wd","NumberOfPeriods=2"))*100+DAY(_xll.BADDPERIODS(N21,"CDR=BZ","Per=wd","NumberOfPeriods=2")),"00000000")</f>
        <v>#VALUE!</v>
      </c>
      <c r="R21" s="221" t="e">
        <f>_xll.BDP($B21,$R$10,$M$10,P21)</f>
        <v>#VALUE!</v>
      </c>
      <c r="S21" s="222" t="e">
        <f>IF(OR(UPPER(K21)="ANDE",UPPER(L21)="ANDE"),_xll.BDP($B21,$S$10,$K$10,L21,$W$10,W21,$P$10,Q21),_xll.BDP($B21,$S$10,$K$10,L21,$W$10,W21,$P$10,P21))</f>
        <v>#VALUE!</v>
      </c>
      <c r="T21" s="200"/>
      <c r="U21" s="223" t="e">
        <f>IF(W21="",IF(T21="",_xll.BDP($B21,U$10,$S$10,$S21,$K$10,$L21,$M$10,$P21),_xll.BDP($B21,U$10,$S$10,$T21,$M$10,$Q21,$K$10,$L21)),"-")</f>
        <v>#VALUE!</v>
      </c>
      <c r="V21" s="208" t="e">
        <f t="shared" si="1"/>
        <v>#VALUE!</v>
      </c>
      <c r="W21" s="200"/>
      <c r="X21" s="223" t="e">
        <f>IF(W21&lt;&gt;"",_xll.BDP($B21,X$10,$M$10,$P21,$K$10,$L21,$W$10,$W21)/10,_xll.BDP($B21,X$10,$S$10,$T21,$M$10,$P21,$K$10,$L21,$W$10,$W21)/10)</f>
        <v>#VALUE!</v>
      </c>
      <c r="Y21" s="224" t="e">
        <f>IF(W21&lt;&gt;"",_xll.BDP($B21,Y$10,$M$10,$P21,$K$10,$L21,$W$10,$W21)/10,_xll.BDP($B21,Y$10,$S$10,$T21,$M$10,$P21,$K$10,$L21,$W$10,$W21)/10)</f>
        <v>#VALUE!</v>
      </c>
      <c r="Z21" s="225" t="e">
        <f>IF(W21&lt;&gt;"",_xll.BDP($B21,Z$10,$M$10,$P21,$K$10,$L21,$W$10,$W21),_xll.BDP($B21,Z$10,$S$10,$T21,$M$10,$P21,$K$10,$L21,$W$10,$W21))</f>
        <v>#VALUE!</v>
      </c>
      <c r="AA21" s="225" t="e">
        <f>IF(W21&lt;&gt;"",_xll.BDP($B21,AA$10,$M$10,$P21,$K$10,$L21,$W$10,$W21),_xll.BDP($B21,AA$10,$S$10,$T21,$M$10,$P21,$K$10,$L21,$W$10,$W21))</f>
        <v>#VALUE!</v>
      </c>
      <c r="AB21" s="225" t="e">
        <f>IF(W21&lt;&gt;"",_xll.BDP($B21,AB$10,$M$10,$P21,$K$10,$L21,$W$10,$W21),_xll.BDP($B21,AB$10,$S$10,$T21,$M$10,$P21,$K$10,$L21,$W$10,$W21))</f>
        <v>#VALUE!</v>
      </c>
      <c r="AC21" s="225" t="e">
        <f>IF(W21&lt;&gt;"",_xll.BDP($B21,AC$10,$M$10,$P21,$K$10,$L21,$W$10,$W21),_xll.BDP($B21,AC$10,$S$10,$T21,$M$10,$P21,$K$10,$L21,$W$10,$W21))</f>
        <v>#VALUE!</v>
      </c>
      <c r="AD21" s="215" t="str">
        <f>IF($B21="","",_xll.BDH($B21,AD$10,_xll.BTODAY()-1,_xll.BTODAY()-1,"pcs","TUNE"))</f>
        <v/>
      </c>
      <c r="AE21" s="216" t="str">
        <f>IF($B21="","",_xll.BDH($B21,AE$10,_xll.BTODAY()-1,_xll.BTODAY()-1,"pcs","TUNE"))</f>
        <v/>
      </c>
    </row>
    <row r="22" spans="2:31" x14ac:dyDescent="0.25">
      <c r="M22" s="167"/>
      <c r="N22" s="167"/>
      <c r="O22" s="167"/>
    </row>
    <row r="23" spans="2:31" x14ac:dyDescent="0.25">
      <c r="M23" s="168"/>
      <c r="N23" s="168"/>
      <c r="O23" s="168"/>
    </row>
    <row r="24" spans="2:31" x14ac:dyDescent="0.25">
      <c r="M24" s="168"/>
      <c r="N24" s="168"/>
      <c r="O24" s="168"/>
    </row>
    <row r="25" spans="2:31" x14ac:dyDescent="0.25">
      <c r="M25" s="168"/>
      <c r="N25" s="168"/>
      <c r="O25" s="168"/>
    </row>
    <row r="32" spans="2:31" x14ac:dyDescent="0.25">
      <c r="Q32" s="169"/>
      <c r="R32" s="169"/>
    </row>
  </sheetData>
  <mergeCells count="5">
    <mergeCell ref="D8:G8"/>
    <mergeCell ref="H8:J8"/>
    <mergeCell ref="Z8:AC8"/>
    <mergeCell ref="K8:Y8"/>
    <mergeCell ref="AD8:AE8"/>
  </mergeCells>
  <conditionalFormatting sqref="R12:S12 U12:V12 B12:K12 X12:AC12">
    <cfRule type="expression" dxfId="115" priority="39">
      <formula>$B12=""</formula>
    </cfRule>
  </conditionalFormatting>
  <conditionalFormatting sqref="O22:O25">
    <cfRule type="expression" dxfId="114" priority="34">
      <formula>$B22=""</formula>
    </cfRule>
  </conditionalFormatting>
  <conditionalFormatting sqref="P12">
    <cfRule type="expression" dxfId="113" priority="36">
      <formula>$B12=""</formula>
    </cfRule>
  </conditionalFormatting>
  <conditionalFormatting sqref="M22:N25 M12">
    <cfRule type="expression" dxfId="112" priority="35">
      <formula>$B12=""</formula>
    </cfRule>
  </conditionalFormatting>
  <conditionalFormatting sqref="N12">
    <cfRule type="expression" dxfId="111" priority="27">
      <formula>$B12=""</formula>
    </cfRule>
  </conditionalFormatting>
  <conditionalFormatting sqref="Q12">
    <cfRule type="expression" dxfId="110" priority="26">
      <formula>$B12=""</formula>
    </cfRule>
  </conditionalFormatting>
  <conditionalFormatting sqref="AD12:AE12">
    <cfRule type="expression" dxfId="109" priority="25">
      <formula>$B12=""</formula>
    </cfRule>
  </conditionalFormatting>
  <conditionalFormatting sqref="AD11:AE11">
    <cfRule type="expression" dxfId="108" priority="6">
      <formula>$B11=""</formula>
    </cfRule>
  </conditionalFormatting>
  <conditionalFormatting sqref="R13:S21 U13:V21 B13:K21 X13:AC21">
    <cfRule type="expression" dxfId="107" priority="23">
      <formula>$B13=""</formula>
    </cfRule>
  </conditionalFormatting>
  <conditionalFormatting sqref="N13:N21">
    <cfRule type="expression" dxfId="106" priority="17">
      <formula>$B13=""</formula>
    </cfRule>
  </conditionalFormatting>
  <conditionalFormatting sqref="P13:P21">
    <cfRule type="expression" dxfId="105" priority="22">
      <formula>$B13=""</formula>
    </cfRule>
  </conditionalFormatting>
  <conditionalFormatting sqref="M13:M21">
    <cfRule type="expression" dxfId="104" priority="21">
      <formula>$B13=""</formula>
    </cfRule>
  </conditionalFormatting>
  <conditionalFormatting sqref="Q13:Q21">
    <cfRule type="expression" dxfId="103" priority="16">
      <formula>$B13=""</formula>
    </cfRule>
  </conditionalFormatting>
  <conditionalFormatting sqref="AD13:AE21">
    <cfRule type="expression" dxfId="102" priority="15">
      <formula>$B13=""</formula>
    </cfRule>
  </conditionalFormatting>
  <conditionalFormatting sqref="R11:S11 U11:V11 B11:K11 X11:AC11">
    <cfRule type="expression" dxfId="101" priority="14">
      <formula>$B11=""</formula>
    </cfRule>
  </conditionalFormatting>
  <conditionalFormatting sqref="N11">
    <cfRule type="expression" dxfId="100" priority="8">
      <formula>$B11=""</formula>
    </cfRule>
  </conditionalFormatting>
  <conditionalFormatting sqref="P11">
    <cfRule type="expression" dxfId="99" priority="13">
      <formula>$B11=""</formula>
    </cfRule>
  </conditionalFormatting>
  <conditionalFormatting sqref="M11">
    <cfRule type="expression" dxfId="98" priority="12">
      <formula>$B11=""</formula>
    </cfRule>
  </conditionalFormatting>
  <conditionalFormatting sqref="Q11">
    <cfRule type="expression" dxfId="97" priority="7">
      <formula>$B11=""</formula>
    </cfRule>
  </conditionalFormatting>
  <conditionalFormatting sqref="W11:W21">
    <cfRule type="expression" dxfId="96" priority="1">
      <formula>$B11=""</formula>
    </cfRule>
  </conditionalFormatting>
  <conditionalFormatting sqref="C8">
    <cfRule type="expression" dxfId="95" priority="5">
      <formula>$B8=""</formula>
    </cfRule>
  </conditionalFormatting>
  <conditionalFormatting sqref="L11:L21">
    <cfRule type="expression" dxfId="94" priority="4">
      <formula>$B11=""</formula>
    </cfRule>
  </conditionalFormatting>
  <conditionalFormatting sqref="O11:O21">
    <cfRule type="expression" dxfId="93" priority="3">
      <formula>$B11=""</formula>
    </cfRule>
  </conditionalFormatting>
  <conditionalFormatting sqref="T11:T21">
    <cfRule type="expression" dxfId="92" priority="2">
      <formula>$B11=""</formula>
    </cfRule>
  </conditionalFormatting>
  <dataValidations count="1">
    <dataValidation type="list" allowBlank="1" showInputMessage="1" showErrorMessage="1" sqref="C8" xr:uid="{00000000-0002-0000-0300-000000000000}">
      <formula1>"BID,ASK"</formula1>
    </dataValidation>
  </dataValidations>
  <pageMargins left="0.7" right="0.7" top="0.75" bottom="0.75" header="0.3" footer="0.3"/>
  <pageSetup orientation="portrait" r:id="rId1"/>
  <ignoredErrors>
    <ignoredError sqref="G21 X18:X21 Y18:Y21 R18:R21 Z18:AC21 S18:S21 U18:U21 G18 G19 G20" evalError="1"/>
  </ignoredError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B1:AO13"/>
  <sheetViews>
    <sheetView showGridLines="0" showRowColHeaders="0" zoomScaleNormal="100" workbookViewId="0">
      <pane ySplit="5" topLeftCell="A6" activePane="bottomLeft" state="frozen"/>
      <selection pane="bottomLeft" activeCell="R31" sqref="R31"/>
    </sheetView>
  </sheetViews>
  <sheetFormatPr defaultRowHeight="15" x14ac:dyDescent="0.25"/>
  <cols>
    <col min="1" max="1" width="1.7109375" customWidth="1"/>
    <col min="2" max="2" width="14.7109375" customWidth="1"/>
    <col min="3" max="3" width="20.7109375" customWidth="1"/>
    <col min="4" max="4" width="8.5703125" customWidth="1"/>
    <col min="5" max="6" width="12.85546875" customWidth="1"/>
    <col min="7" max="7" width="13.42578125" customWidth="1"/>
    <col min="8" max="8" width="11.140625" customWidth="1"/>
    <col min="9" max="9" width="13.85546875" customWidth="1"/>
    <col min="10" max="10" width="10.140625" customWidth="1"/>
    <col min="11" max="12" width="15.85546875" customWidth="1"/>
    <col min="13" max="13" width="15" customWidth="1"/>
    <col min="14" max="14" width="15" hidden="1" customWidth="1"/>
    <col min="15" max="15" width="15" customWidth="1"/>
    <col min="16" max="17" width="12.42578125" hidden="1" customWidth="1"/>
    <col min="18" max="18" width="15.42578125" style="32" customWidth="1"/>
    <col min="19" max="19" width="13.7109375" style="32" customWidth="1"/>
    <col min="20" max="20" width="17.140625" style="32" customWidth="1"/>
    <col min="21" max="21" width="19.42578125" style="32" customWidth="1"/>
    <col min="22" max="22" width="16" style="32" hidden="1" customWidth="1"/>
    <col min="23" max="23" width="15.5703125" style="32" customWidth="1"/>
    <col min="24" max="24" width="16" style="32" customWidth="1"/>
    <col min="25" max="25" width="17.7109375" style="32" customWidth="1"/>
    <col min="26" max="26" width="11.140625" style="32" customWidth="1"/>
    <col min="27" max="27" width="12.28515625" style="32" customWidth="1"/>
    <col min="28" max="29" width="11.140625" style="32" customWidth="1"/>
    <col min="30" max="30" width="11.28515625" style="32" hidden="1" customWidth="1"/>
    <col min="31" max="31" width="9.7109375" style="32" hidden="1" customWidth="1"/>
    <col min="32" max="32" width="3.5703125" style="32" hidden="1" customWidth="1"/>
    <col min="33" max="33" width="11" hidden="1" customWidth="1"/>
    <col min="34" max="34" width="10.42578125" hidden="1" customWidth="1"/>
    <col min="35" max="35" width="4.140625" hidden="1" customWidth="1"/>
    <col min="36" max="36" width="10.7109375" customWidth="1"/>
    <col min="37" max="37" width="11.42578125" style="32" customWidth="1"/>
    <col min="38" max="38" width="17.42578125" customWidth="1"/>
    <col min="39" max="39" width="15" customWidth="1"/>
    <col min="40" max="40" width="11.42578125" bestFit="1" customWidth="1"/>
    <col min="41" max="41" width="12.140625" bestFit="1" customWidth="1"/>
  </cols>
  <sheetData>
    <row r="1" spans="2:41" ht="5.0999999999999996" customHeight="1" x14ac:dyDescent="0.25"/>
    <row r="2" spans="2:41" ht="15" customHeight="1" x14ac:dyDescent="0.25"/>
    <row r="3" spans="2:41" ht="15" customHeight="1" x14ac:dyDescent="0.25"/>
    <row r="4" spans="2:41" ht="15" customHeight="1" x14ac:dyDescent="0.25"/>
    <row r="5" spans="2:41" ht="5.0999999999999996" customHeight="1" x14ac:dyDescent="0.25"/>
    <row r="6" spans="2:41" x14ac:dyDescent="0.25">
      <c r="B6" s="171" t="str" cm="1">
        <f t="array" ref="B6">_xll.BDP(B11, "short Name")</f>
        <v>BRAZIL NTN-C</v>
      </c>
      <c r="D6" s="171"/>
      <c r="E6" s="171" t="str" cm="1">
        <f t="array" ref="E6">_xll.BDP(B11, "des_notes")</f>
        <v>RDMPTN &amp; CPN LINKED TO IGP-M. ISS'D IN UNITARY PRICES (PU). AVG YLD=11.97%.     PORT 624. BASE DATE FOR ACCUM IGPM: 07/01/2000. ADD'L BRL 500MM 05/02/03.</v>
      </c>
    </row>
    <row r="7" spans="2:41" ht="5.0999999999999996" customHeight="1" x14ac:dyDescent="0.25"/>
    <row r="8" spans="2:41" x14ac:dyDescent="0.25">
      <c r="B8" s="107" t="s">
        <v>150</v>
      </c>
      <c r="C8" s="270" t="s">
        <v>346</v>
      </c>
      <c r="D8" s="325" t="s">
        <v>11</v>
      </c>
      <c r="E8" s="325"/>
      <c r="F8" s="325"/>
      <c r="G8" s="326"/>
      <c r="H8" s="325" t="s">
        <v>4</v>
      </c>
      <c r="I8" s="325"/>
      <c r="J8" s="326"/>
      <c r="K8" s="325" t="s">
        <v>26</v>
      </c>
      <c r="L8" s="325"/>
      <c r="M8" s="325"/>
      <c r="N8" s="325"/>
      <c r="O8" s="325"/>
      <c r="P8" s="325"/>
      <c r="Q8" s="325"/>
      <c r="R8" s="325"/>
      <c r="S8" s="325"/>
      <c r="T8" s="325"/>
      <c r="U8" s="325"/>
      <c r="V8" s="325"/>
      <c r="W8" s="325"/>
      <c r="X8" s="325"/>
      <c r="Y8" s="326"/>
      <c r="Z8" s="325" t="s">
        <v>18</v>
      </c>
      <c r="AA8" s="325"/>
      <c r="AB8" s="325"/>
      <c r="AC8" s="325"/>
      <c r="AD8" s="172"/>
      <c r="AE8" s="173"/>
      <c r="AF8" s="173"/>
      <c r="AG8" s="174"/>
      <c r="AH8" s="174"/>
      <c r="AI8" s="175"/>
      <c r="AJ8" s="325" t="s">
        <v>38</v>
      </c>
      <c r="AK8" s="325"/>
      <c r="AL8" s="325"/>
      <c r="AM8" s="325"/>
      <c r="AN8" s="323" t="s">
        <v>358</v>
      </c>
      <c r="AO8" s="324"/>
    </row>
    <row r="9" spans="2:41" x14ac:dyDescent="0.25">
      <c r="B9" s="82" t="s">
        <v>48</v>
      </c>
      <c r="C9" s="30" t="s">
        <v>10</v>
      </c>
      <c r="D9" s="30" t="s">
        <v>11</v>
      </c>
      <c r="E9" s="30" t="s">
        <v>20</v>
      </c>
      <c r="F9" s="30" t="s">
        <v>21</v>
      </c>
      <c r="G9" s="30" t="s">
        <v>23</v>
      </c>
      <c r="H9" s="30" t="s">
        <v>4</v>
      </c>
      <c r="I9" s="30" t="s">
        <v>12</v>
      </c>
      <c r="J9" s="30" t="s">
        <v>25</v>
      </c>
      <c r="K9" s="30" t="s">
        <v>9</v>
      </c>
      <c r="L9" s="30" t="s">
        <v>9</v>
      </c>
      <c r="M9" s="30" t="s">
        <v>7</v>
      </c>
      <c r="N9" s="30" t="s">
        <v>196</v>
      </c>
      <c r="O9" s="30" t="s">
        <v>7</v>
      </c>
      <c r="P9" s="30" t="s">
        <v>7</v>
      </c>
      <c r="Q9" s="30"/>
      <c r="R9" s="30" t="s">
        <v>13</v>
      </c>
      <c r="S9" s="30" t="s">
        <v>83</v>
      </c>
      <c r="T9" s="30" t="s">
        <v>5</v>
      </c>
      <c r="U9" s="30" t="str">
        <f>$C$8&amp;" PRICE"</f>
        <v>MID PRICE</v>
      </c>
      <c r="V9" s="30" t="str">
        <f>$C$8&amp;" PRICE"</f>
        <v>MID PRICE</v>
      </c>
      <c r="W9" s="30" t="str">
        <f>$C$8&amp;" PRICE"</f>
        <v>MID PRICE</v>
      </c>
      <c r="X9" s="30" t="s">
        <v>37</v>
      </c>
      <c r="Y9" s="30" t="s">
        <v>29</v>
      </c>
      <c r="Z9" s="30" t="s">
        <v>17</v>
      </c>
      <c r="AA9" s="30" t="s">
        <v>14</v>
      </c>
      <c r="AB9" s="30" t="s">
        <v>15</v>
      </c>
      <c r="AC9" s="30" t="s">
        <v>27</v>
      </c>
      <c r="AD9" s="30"/>
      <c r="AE9" s="30"/>
      <c r="AF9" s="30"/>
      <c r="AG9" s="30"/>
      <c r="AH9" s="30"/>
      <c r="AI9" s="30"/>
      <c r="AJ9" s="30" t="s">
        <v>49</v>
      </c>
      <c r="AK9" s="30" t="s">
        <v>50</v>
      </c>
      <c r="AL9" s="30" t="s">
        <v>51</v>
      </c>
      <c r="AM9" s="30" t="s">
        <v>33</v>
      </c>
      <c r="AN9" s="143" t="s">
        <v>359</v>
      </c>
      <c r="AO9" s="177" t="s">
        <v>360</v>
      </c>
    </row>
    <row r="10" spans="2:41" hidden="1" x14ac:dyDescent="0.25">
      <c r="B10" s="178">
        <f>COUNTA(B11:B13)</f>
        <v>1</v>
      </c>
      <c r="C10" s="179"/>
      <c r="D10" s="149" t="s">
        <v>2</v>
      </c>
      <c r="E10" s="149" t="s">
        <v>19</v>
      </c>
      <c r="F10" s="149" t="s">
        <v>22</v>
      </c>
      <c r="G10" s="149" t="s">
        <v>0</v>
      </c>
      <c r="H10" s="149" t="s">
        <v>4</v>
      </c>
      <c r="I10" s="149" t="s">
        <v>3</v>
      </c>
      <c r="J10" s="149" t="s">
        <v>24</v>
      </c>
      <c r="K10" s="149" t="s">
        <v>8</v>
      </c>
      <c r="L10" s="146" t="s">
        <v>9</v>
      </c>
      <c r="M10" s="146" t="s">
        <v>1</v>
      </c>
      <c r="N10" s="148"/>
      <c r="O10" s="146"/>
      <c r="P10" s="148" t="s">
        <v>7</v>
      </c>
      <c r="Q10" s="148"/>
      <c r="R10" s="146" t="s">
        <v>6</v>
      </c>
      <c r="S10" s="146" t="str">
        <f>"YLD_YTM_"&amp;$C$8</f>
        <v>YLD_YTM_MID</v>
      </c>
      <c r="T10" s="146" t="s">
        <v>5</v>
      </c>
      <c r="U10" s="146" t="str">
        <f>"PX "&amp;$C$8</f>
        <v>PX MID</v>
      </c>
      <c r="V10" s="149" t="str">
        <f>"PX "&amp;$C$8</f>
        <v>PX MID</v>
      </c>
      <c r="W10" s="146" t="str">
        <f>"PX "&amp;$C$8</f>
        <v>PX MID</v>
      </c>
      <c r="X10" s="146"/>
      <c r="Y10" s="146"/>
      <c r="Z10" s="146" t="str">
        <f>"DUR_"&amp;$C$8</f>
        <v>DUR_MID</v>
      </c>
      <c r="AA10" s="146" t="str">
        <f>"DUR_ADJ_"&amp;$C$8</f>
        <v>DUR_ADJ_MID</v>
      </c>
      <c r="AB10" s="146" t="str">
        <f>"CNVX_"&amp;$C$8</f>
        <v>CNVX_MID</v>
      </c>
      <c r="AC10" s="146" t="str">
        <f>"RISK_"&amp;$C$8</f>
        <v>RISK_MID</v>
      </c>
      <c r="AD10" s="146"/>
      <c r="AE10" s="146"/>
      <c r="AF10" s="146"/>
      <c r="AG10" s="146"/>
      <c r="AH10" s="146"/>
      <c r="AI10" s="146"/>
      <c r="AJ10" s="146" t="s">
        <v>32</v>
      </c>
      <c r="AK10" s="146" t="s">
        <v>31</v>
      </c>
      <c r="AL10" s="146" t="s">
        <v>28</v>
      </c>
      <c r="AM10" s="180"/>
      <c r="AN10" s="146" t="s">
        <v>361</v>
      </c>
      <c r="AO10" s="181" t="s">
        <v>225</v>
      </c>
    </row>
    <row r="11" spans="2:41" x14ac:dyDescent="0.25">
      <c r="B11" s="182" t="str">
        <f>_xll.BCHAIN("EC3267316 Corp","bonds","","SortBy","maturity","SortOrder","asc")</f>
        <v>EC326731 Corp</v>
      </c>
      <c r="C11" s="150"/>
      <c r="D11" s="151" cm="1">
        <f t="array" ref="D11">_xll.BDP($B11,D$10)/100</f>
        <v>0.12</v>
      </c>
      <c r="E11" s="152" t="str" cm="1">
        <f t="array" ref="E11">_xll.BDP($B11,E$10)</f>
        <v>FIXED</v>
      </c>
      <c r="F11" s="153" cm="1">
        <f t="array" ref="F11">IF(E11="ZERO COUPON","",_xll.BDP($B11,F$10))</f>
        <v>2</v>
      </c>
      <c r="G11" s="154">
        <f>IF(OR(F11=0,E11="ZERO COUPON"),"",_xll.BDP($B11,G$10,$M$10,P11)*1)</f>
        <v>45659</v>
      </c>
      <c r="H11" s="154" cm="1">
        <f t="array" ref="H11">_xll.BDP($B11,H$10)*1</f>
        <v>47849</v>
      </c>
      <c r="I11" s="150" t="str" cm="1">
        <f t="array" ref="I11">_xll.BDP($B11,I$10)</f>
        <v>AT MATURITY</v>
      </c>
      <c r="J11" s="150" cm="1">
        <f t="array" ref="J11">_xll.BDP($B11,J$10)</f>
        <v>1000</v>
      </c>
      <c r="K11" s="150" t="str" cm="1">
        <f t="array" ref="K11">IF(B11="","",_xll.BDP($B11,K$10))</f>
        <v>ANDI</v>
      </c>
      <c r="L11" s="170"/>
      <c r="M11" s="183" cm="1">
        <f t="array" ref="M11">_xll.BDP($B11,M$10)*1</f>
        <v>45831</v>
      </c>
      <c r="N11" s="271">
        <f>IF(O11="",_xll.BADDPERIODS(M11,"CDR=BZ","Per=wd","NumberOfPeriods=-2"),_xll.BADDPERIODS(O11,"CDR=BZ","Per=wd","NumberOfPeriods=-2"))</f>
        <v>45826</v>
      </c>
      <c r="O11" s="170"/>
      <c r="P11" s="158" t="str">
        <f>IF(OR(K11="ANDE",L11="ANDE"),TEXT(YEAR(N11)*10000+MONTH(N11)*100+DAY(N11),"00000000"),IF(O11="",TEXT(YEAR(M11)*10000+MONTH(M11)*100+DAY(M11),"00000000"),TEXT(YEAR(O11)*10000+MONTH(O11)*100+DAY(O11),"00000000")))</f>
        <v>20250623</v>
      </c>
      <c r="Q11" s="159" t="str">
        <f>TEXT(YEAR(_xll.BADDPERIODS(N11,"CDR=BZ","Per=wd","NumberOfPeriods=2"))*10000+MONTH(_xll.BADDPERIODS(N11,"CDR=BZ","Per=wd","NumberOfPeriods=2"))*100+DAY(_xll.BADDPERIODS(N11,"CDR=BZ","Per=wd","NumberOfPeriods=2")),"00000000")</f>
        <v>20250623</v>
      </c>
      <c r="R11" s="272" cm="1">
        <f t="array" ref="R11">_xll.BDP($B11,$R$10,$M$10,P11)</f>
        <v>361.47245673604465</v>
      </c>
      <c r="S11" s="185" cm="1">
        <f t="array" ref="S11">IF(OR(UPPER(K11)="ANDE",UPPER(L11)="ANDE"),_xll.BDP($B11,$S$10,$K$10,L11,$W$10,W11,$P$10,Q11),_xll.BDP($B11,$S$10,$K$10,L11,$W$10,W11,$P$10,P11))</f>
        <v>7.2694000000000001</v>
      </c>
      <c r="T11" s="170"/>
      <c r="U11" s="186" cm="1">
        <f t="array" ref="U11">IF(W11="",IF(T11="",_xll.BDP($B11,U$10,$K$10,$L11,$S$10,$S11,$M$10,$P$11),_xll.BDP($B11,U$10,$S$10,$T11,$M$10,$Q11,$K$10,$L11)),"-")</f>
        <v>8219.3012420000014</v>
      </c>
      <c r="V11" s="163">
        <f>IF(W11="",U11,W11)</f>
        <v>8219.3012420000014</v>
      </c>
      <c r="W11" s="170"/>
      <c r="X11" s="187">
        <f>V11/Y11*100</f>
        <v>126.04634997215305</v>
      </c>
      <c r="Y11" s="188">
        <f>J11*AK11/AJ11*(1+AL11/100)^(AF11/AI11)</f>
        <v>6520.8562118743312</v>
      </c>
      <c r="Z11" s="189" cm="1">
        <f t="array" ref="Z11">IF(W11&lt;&gt;"",_xll.BDP($B11,Z$10,$M$10,$P11,$K$10,$L11,$W$10,$W11),_xll.BDP($B11,Z$10,$S$10,$T11,$M$10,$P11,$K$10,$L11,$W$10,$W11))</f>
        <v>4.1445252062941185</v>
      </c>
      <c r="AA11" s="189" cm="1">
        <f t="array" ref="AA11">IF(W11&lt;&gt;"",_xll.BDP($B11,AA$10,$M$10,$P11,$K$10,$L11,$W$10,$W11),_xll.BDP($B11,AA$10,$S$10,$T11,$M$10,$P11,$K$10,$L11,$W$10,$W11))</f>
        <v>3.8636596234872487</v>
      </c>
      <c r="AB11" s="189" cm="1">
        <f t="array" ref="AB11">IF(W11&lt;&gt;"",_xll.BDP($B11,AB$10,$M$10,$P11,$K$10,$L11,$W$10,$W11),_xll.BDP($B11,AB$10,$S$10,$T11,$M$10,$P11,$K$10,$L11,$W$10,$W11))</f>
        <v>0.21543835516968327</v>
      </c>
      <c r="AC11" s="189" cm="1">
        <f t="array" ref="AC11">IF(W11&lt;&gt;"",_xll.BDP($B11,AC$10,$M$10,$P11,$K$10,$L11,$W$10,$W11),_xll.BDP($B11,AC$10,$S$10,$T11,$M$10,$P11,$K$10,$L11,$W$10,$W11))</f>
        <v>317.56569747567482</v>
      </c>
      <c r="AD11" s="190">
        <f>DATE(YEAR(_xll.BTODAY()),MONTH(_xll.BTODAY())-1,30)</f>
        <v>45807</v>
      </c>
      <c r="AE11" s="190">
        <f>AD11+1</f>
        <v>45808</v>
      </c>
      <c r="AF11" s="150" cm="1">
        <f t="array" ref="AF11">_xll.BCOUNTPERIODS(AE11,M11,"CDR=BZ")-1</f>
        <v>14</v>
      </c>
      <c r="AG11" s="190">
        <f>EOMONTH(AD11,1)</f>
        <v>45838</v>
      </c>
      <c r="AH11" s="190" cm="1">
        <f t="array" ref="AH11">_xll.BADDPERIODS(AG11,"CDR=BZ")</f>
        <v>45838</v>
      </c>
      <c r="AI11" s="150" cm="1">
        <f t="array" ref="AI11">_xll.BCOUNTPERIODS(AE11,AH11,"cdr=bz")</f>
        <v>20</v>
      </c>
      <c r="AJ11" s="189" cm="1">
        <f t="array" ref="AJ11">_xll.BDP($B11,AJ$10)</f>
        <v>183.745</v>
      </c>
      <c r="AK11" s="189" cm="1">
        <f t="array" ref="AK11">_xll.BDP($B11,AK$10)</f>
        <v>1206.3779999999999</v>
      </c>
      <c r="AL11" s="189" cm="1">
        <f t="array" ref="AL11">_xll.BDP($B11,AL$10)</f>
        <v>-0.97</v>
      </c>
      <c r="AM11" s="273">
        <f>Y11/1000</f>
        <v>6.5208562118743307</v>
      </c>
      <c r="AN11" s="166" cm="1">
        <f t="array" ref="AN11">IF($B11="","",_xll.BDH($B11,AN$10,_xlfn.SINGLE(_xll.BTODAY())-1,_xlfn.SINGLE(_xll.BTODAY())-1,"pcs","TUNE"))</f>
        <v>7.7592999999999996</v>
      </c>
      <c r="AO11" s="193" cm="1">
        <f t="array" ref="AO11">IF($B11="","",_xll.BDH($B11,AO$10,_xlfn.SINGLE(_xll.BTODAY())-1,_xlfn.SINGLE(_xll.BTODAY())-1,"pcs","TUNE"))</f>
        <v>6.8818000000000001</v>
      </c>
    </row>
    <row r="12" spans="2:41" x14ac:dyDescent="0.25">
      <c r="B12" s="182"/>
      <c r="C12" s="150"/>
      <c r="D12" s="151" t="e">
        <f>_xll.BDP($B12,D$10)/100</f>
        <v>#VALUE!</v>
      </c>
      <c r="E12" s="152" t="str">
        <f>_xll.BDP($B12,E$10)</f>
        <v>#N/A Mandatory parameter [SECURITY] cannot be empty</v>
      </c>
      <c r="F12" s="153" t="str">
        <f>IF(E12="ZERO COUPON","",_xll.BDP($B12,F$10))</f>
        <v>#N/A Mandatory parameter [SECURITY] cannot be empty</v>
      </c>
      <c r="G12" s="154" t="e">
        <f>IF(OR(F12=0,E12="ZERO COUPON"),"",_xll.BDP($B12,G$10,$M$10,P12)*1)</f>
        <v>#VALUE!</v>
      </c>
      <c r="H12" s="154" t="e">
        <f>_xll.BDP($B12,H$10)*1</f>
        <v>#VALUE!</v>
      </c>
      <c r="I12" s="150" t="str">
        <f>_xll.BDP($B12,I$10)</f>
        <v>#N/A Mandatory parameter [SECURITY] cannot be empty</v>
      </c>
      <c r="J12" s="150" t="str">
        <f>_xll.BDP($B12,J$10)</f>
        <v>#N/A Mandatory parameter [SECURITY] cannot be empty</v>
      </c>
      <c r="K12" s="150" t="str">
        <f>IF(B12="","",_xll.BDP($B12,K$10))</f>
        <v/>
      </c>
      <c r="L12" s="170"/>
      <c r="M12" s="183" t="e">
        <f>_xll.BDP($B12,M$10)*1</f>
        <v>#VALUE!</v>
      </c>
      <c r="N12" s="271" t="e">
        <f>IF(O12="",_xll.BADDPERIODS(M12,"CDR=BZ","Per=wd","NumberOfPeriods=-2"),_xll.BADDPERIODS(O12,"CDR=BZ","Per=wd","NumberOfPeriods=-2"))</f>
        <v>#VALUE!</v>
      </c>
      <c r="O12" s="170"/>
      <c r="P12" s="158" t="e">
        <f>IF(OR(K12="ANDE",L12="ANDE"),TEXT(YEAR(N12)*10000+MONTH(N12)*100+DAY(N12),"00000000"),IF(O12="",TEXT(YEAR(M12)*10000+MONTH(M12)*100+DAY(M12),"00000000"),TEXT(YEAR(O12)*10000+MONTH(O12)*100+DAY(O12),"00000000")))</f>
        <v>#VALUE!</v>
      </c>
      <c r="Q12" s="159" t="e">
        <f>TEXT(YEAR(_xll.BADDPERIODS(N12,"CDR=BZ","Per=wd","NumberOfPeriods=2"))*10000+MONTH(_xll.BADDPERIODS(N12,"CDR=BZ","Per=wd","NumberOfPeriods=2"))*100+DAY(_xll.BADDPERIODS(N12,"CDR=BZ","Per=wd","NumberOfPeriods=2")),"00000000")</f>
        <v>#VALUE!</v>
      </c>
      <c r="R12" s="272" t="e">
        <f>_xll.BDP($B12,$R$10,$M$10,P12)</f>
        <v>#VALUE!</v>
      </c>
      <c r="S12" s="185" t="e">
        <f>IF(OR(UPPER(K12)="ANDE",UPPER(L12)="ANDE"),_xll.BDP($B12,$S$10,$K$10,L12,$W$10,W12,$P$10,Q12),_xll.BDP($B12,$S$10,$K$10,L12,$W$10,W12,$P$10,P12))</f>
        <v>#VALUE!</v>
      </c>
      <c r="T12" s="170"/>
      <c r="U12" s="186" t="e">
        <f>IF(W12="",IF(T12="",_xll.BDP($B12,U$10,$K$10,$L12,$S$10,$S12,$M$10,$P$11),_xll.BDP($B12,U$10,$S$10,$T12,$M$10,$Q12,$K$10,$L12)),"-")</f>
        <v>#VALUE!</v>
      </c>
      <c r="V12" s="163" t="e">
        <f>IF(W12="",U12,W12)</f>
        <v>#VALUE!</v>
      </c>
      <c r="W12" s="170"/>
      <c r="X12" s="187" t="e">
        <f>V12/Y12*100</f>
        <v>#VALUE!</v>
      </c>
      <c r="Y12" s="188" t="e">
        <f>J12*AK12/AJ12*(1+AL12/100)^(AF12/AI12)</f>
        <v>#VALUE!</v>
      </c>
      <c r="Z12" s="189" t="e">
        <f>IF(W12&lt;&gt;"",_xll.BDP($B12,Z$10,$M$10,$P12,$K$10,$L12,$W$10,$W12),_xll.BDP($B12,Z$10,$S$10,$T12,$M$10,$P12,$K$10,$L12,$W$10,$W12))</f>
        <v>#VALUE!</v>
      </c>
      <c r="AA12" s="189" t="e">
        <f>IF(W12&lt;&gt;"",_xll.BDP($B12,AA$10,$M$10,$P12,$K$10,$L12,$W$10,$W12),_xll.BDP($B12,AA$10,$S$10,$T12,$M$10,$P12,$K$10,$L12,$W$10,$W12))</f>
        <v>#VALUE!</v>
      </c>
      <c r="AB12" s="189" t="e">
        <f>IF(W12&lt;&gt;"",_xll.BDP($B12,AB$10,$M$10,$P12,$K$10,$L12,$W$10,$W12),_xll.BDP($B12,AB$10,$S$10,$T12,$M$10,$P12,$K$10,$L12,$W$10,$W12))</f>
        <v>#VALUE!</v>
      </c>
      <c r="AC12" s="189" t="e">
        <f>IF(W12&lt;&gt;"",_xll.BDP($B12,AC$10,$M$10,$P12,$K$10,$L12,$W$10,$W12),_xll.BDP($B12,AC$10,$S$10,$T12,$M$10,$P12,$K$10,$L12,$W$10,$W12))</f>
        <v>#VALUE!</v>
      </c>
      <c r="AD12" s="190">
        <f>DATE(YEAR(_xll.BTODAY()),MONTH(_xll.BTODAY())-1,30)</f>
        <v>45807</v>
      </c>
      <c r="AE12" s="190">
        <f>AD12+1</f>
        <v>45808</v>
      </c>
      <c r="AF12" s="150" t="e">
        <f>_xll.BCOUNTPERIODS(AE12,M12,"CDR=BZ")-1</f>
        <v>#VALUE!</v>
      </c>
      <c r="AG12" s="190">
        <f>EOMONTH(AD12,1)</f>
        <v>45838</v>
      </c>
      <c r="AH12" s="190" cm="1">
        <f t="array" ref="AH12">_xll.BADDPERIODS(AG12,"CDR=BZ")</f>
        <v>45838</v>
      </c>
      <c r="AI12" s="150" cm="1">
        <f t="array" ref="AI12">_xll.BCOUNTPERIODS(AE12,AH12,"cdr=bz")</f>
        <v>20</v>
      </c>
      <c r="AJ12" s="189" t="str">
        <f>_xll.BDP($B12,AJ$10)</f>
        <v>#N/A Mandatory parameter [SECURITY] cannot be empty</v>
      </c>
      <c r="AK12" s="189" t="str">
        <f>_xll.BDP($B12,AK$10)</f>
        <v>#N/A Mandatory parameter [SECURITY] cannot be empty</v>
      </c>
      <c r="AL12" s="189" t="str">
        <f>_xll.BDP($B12,AL$10)</f>
        <v>#N/A Mandatory parameter [SECURITY] cannot be empty</v>
      </c>
      <c r="AM12" s="273" t="e">
        <f>Y12/1000</f>
        <v>#VALUE!</v>
      </c>
      <c r="AN12" s="166" t="str" cm="1">
        <f t="array" ref="AN12">IF($B12="","",_xll.BDH($B12,AN$10,_xlfn.SINGLE(_xll.BTODAY())-1,_xlfn.SINGLE(_xll.BTODAY())-1,"pcs","TUNE"))</f>
        <v/>
      </c>
      <c r="AO12" s="193" t="str" cm="1">
        <f t="array" ref="AO12">IF($B12="","",_xll.BDH($B12,AO$10,_xlfn.SINGLE(_xll.BTODAY())-1,_xlfn.SINGLE(_xll.BTODAY())-1,"pcs","TUNE"))</f>
        <v/>
      </c>
    </row>
    <row r="13" spans="2:41" x14ac:dyDescent="0.25">
      <c r="B13" s="194"/>
      <c r="C13" s="195"/>
      <c r="D13" s="196" t="e" cm="1">
        <f t="array" ref="D13">_xll.BDP($B13,D$10)/100</f>
        <v>#VALUE!</v>
      </c>
      <c r="E13" s="197" t="str" cm="1">
        <f t="array" ref="E13">_xll.BDP($B13,E$10)</f>
        <v>#N/A Mandatory parameter [SECURITY] cannot be empty</v>
      </c>
      <c r="F13" s="198" t="str" cm="1">
        <f t="array" ref="F13">IF(E13="ZERO COUPON","",_xll.BDP($B13,F$10))</f>
        <v>#N/A Mandatory parameter [SECURITY] cannot be empty</v>
      </c>
      <c r="G13" s="199" t="e">
        <f>IF(OR(F13=0,E13="ZERO COUPON"),"",_xll.BDP($B13,G$10,$M$10,P13)*1)</f>
        <v>#VALUE!</v>
      </c>
      <c r="H13" s="199" t="e" cm="1">
        <f t="array" ref="H13">_xll.BDP($B13,H$10)*1</f>
        <v>#VALUE!</v>
      </c>
      <c r="I13" s="195" t="str" cm="1">
        <f t="array" ref="I13">_xll.BDP($B13,I$10)</f>
        <v>#N/A Mandatory parameter [SECURITY] cannot be empty</v>
      </c>
      <c r="J13" s="195" t="str" cm="1">
        <f t="array" ref="J13">_xll.BDP($B13,J$10)</f>
        <v>#N/A Mandatory parameter [SECURITY] cannot be empty</v>
      </c>
      <c r="K13" s="195" t="str" cm="1">
        <f t="array" ref="K13">IF(B13="","",_xll.BDP($B13,K$10))</f>
        <v/>
      </c>
      <c r="L13" s="200"/>
      <c r="M13" s="201" t="e" cm="1">
        <f t="array" ref="M13">_xll.BDP($B13,M$10)*1</f>
        <v>#VALUE!</v>
      </c>
      <c r="N13" s="274" t="e">
        <f>IF(O13="",_xll.BADDPERIODS(M13,"CDR=BZ","Per=wd","NumberOfPeriods=-2"),_xll.BADDPERIODS(O13,"CDR=BZ","Per=wd","NumberOfPeriods=-2"))</f>
        <v>#VALUE!</v>
      </c>
      <c r="O13" s="200"/>
      <c r="P13" s="203" t="e">
        <f>IF(OR(K13="ANDE",L13="ANDE"),TEXT(YEAR(N13)*10000+MONTH(N13)*100+DAY(N13),"00000000"),IF(O13="",TEXT(YEAR(M13)*10000+MONTH(M13)*100+DAY(M13),"00000000"),TEXT(YEAR(O13)*10000+MONTH(O13)*100+DAY(O13),"00000000")))</f>
        <v>#VALUE!</v>
      </c>
      <c r="Q13" s="204" t="e">
        <f>TEXT(YEAR(_xll.BADDPERIODS(N13,"CDR=BZ","Per=wd","NumberOfPeriods=2"))*10000+MONTH(_xll.BADDPERIODS(N13,"CDR=BZ","Per=wd","NumberOfPeriods=2"))*100+DAY(_xll.BADDPERIODS(N13,"CDR=BZ","Per=wd","NumberOfPeriods=2")),"00000000")</f>
        <v>#VALUE!</v>
      </c>
      <c r="R13" s="275" t="e">
        <f>_xll.BDP($B13,$R$10,$M$10,P13)</f>
        <v>#VALUE!</v>
      </c>
      <c r="S13" s="206" t="e">
        <f>IF(OR(UPPER(K13)="ANDE",UPPER(L13)="ANDE"),_xll.BDP($B13,$S$10,$K$10,L13,$W$10,W13,$P$10,Q13),_xll.BDP($B13,$S$10,$K$10,L13,$W$10,W13,$P$10,P13))</f>
        <v>#VALUE!</v>
      </c>
      <c r="T13" s="200"/>
      <c r="U13" s="207" t="e">
        <f>IF(W13="",IF(T13="",_xll.BDP($B13,U$10,$K$10,$L13,$S$10,$S13,$M$10,$P$11),_xll.BDP($B13,U$10,$S$10,$T13,$M$10,$Q13,$K$10,$L13)),"-")</f>
        <v>#VALUE!</v>
      </c>
      <c r="V13" s="208" t="e">
        <f>IF(W13="",U13,W13)</f>
        <v>#VALUE!</v>
      </c>
      <c r="W13" s="200"/>
      <c r="X13" s="209" t="e">
        <f>V13/Y13*100</f>
        <v>#VALUE!</v>
      </c>
      <c r="Y13" s="210" t="e">
        <f>J13*AK13/AJ13*(1+AL13/100)^(AF13/AI13)</f>
        <v>#VALUE!</v>
      </c>
      <c r="Z13" s="211" t="e">
        <f>IF(W13&lt;&gt;"",_xll.BDP($B13,Z$10,$M$10,$P13,$K$10,$L13,$W$10,$W13),_xll.BDP($B13,Z$10,$S$10,$T13,$M$10,$P13,$K$10,$L13,$W$10,$W13))</f>
        <v>#VALUE!</v>
      </c>
      <c r="AA13" s="211" t="e">
        <f>IF(W13&lt;&gt;"",_xll.BDP($B13,AA$10,$M$10,$P13,$K$10,$L13,$W$10,$W13),_xll.BDP($B13,AA$10,$S$10,$T13,$M$10,$P13,$K$10,$L13,$W$10,$W13))</f>
        <v>#VALUE!</v>
      </c>
      <c r="AB13" s="211" t="e">
        <f>IF(W13&lt;&gt;"",_xll.BDP($B13,AB$10,$M$10,$P13,$K$10,$L13,$W$10,$W13),_xll.BDP($B13,AB$10,$S$10,$T13,$M$10,$P13,$K$10,$L13,$W$10,$W13))</f>
        <v>#VALUE!</v>
      </c>
      <c r="AC13" s="211" t="e">
        <f>IF(W13&lt;&gt;"",_xll.BDP($B13,AC$10,$M$10,$P13,$K$10,$L13,$W$10,$W13),_xll.BDP($B13,AC$10,$S$10,$T13,$M$10,$P13,$K$10,$L13,$W$10,$W13))</f>
        <v>#VALUE!</v>
      </c>
      <c r="AD13" s="212">
        <f>DATE(YEAR(_xll.BTODAY()),MONTH(_xll.BTODAY())-1,30)</f>
        <v>45807</v>
      </c>
      <c r="AE13" s="212">
        <f>AD13+1</f>
        <v>45808</v>
      </c>
      <c r="AF13" s="195" t="e">
        <f>_xll.BCOUNTPERIODS(AE13,M13,"CDR=BZ")-1</f>
        <v>#VALUE!</v>
      </c>
      <c r="AG13" s="212">
        <f>EOMONTH(AD13,1)</f>
        <v>45838</v>
      </c>
      <c r="AH13" s="212" cm="1">
        <f t="array" ref="AH13">_xll.BADDPERIODS(AG13,"CDR=BZ")</f>
        <v>45838</v>
      </c>
      <c r="AI13" s="195" cm="1">
        <f t="array" ref="AI13">_xll.BCOUNTPERIODS(AE13,AH13,"cdr=bz")</f>
        <v>20</v>
      </c>
      <c r="AJ13" s="211" t="str" cm="1">
        <f t="array" ref="AJ13">_xll.BDP($B13,AJ$10)</f>
        <v>#N/A Mandatory parameter [SECURITY] cannot be empty</v>
      </c>
      <c r="AK13" s="211" t="str" cm="1">
        <f t="array" ref="AK13">_xll.BDP($B13,AK$10)</f>
        <v>#N/A Mandatory parameter [SECURITY] cannot be empty</v>
      </c>
      <c r="AL13" s="211" t="str" cm="1">
        <f t="array" ref="AL13">_xll.BDP($B13,AL$10)</f>
        <v>#N/A Mandatory parameter [SECURITY] cannot be empty</v>
      </c>
      <c r="AM13" s="276" t="e">
        <f>Y13/1000</f>
        <v>#VALUE!</v>
      </c>
      <c r="AN13" s="215" t="str" cm="1">
        <f t="array" ref="AN13">IF($B13="","",_xll.BDH($B13,AN$10,_xlfn.SINGLE(_xll.BTODAY())-1,_xlfn.SINGLE(_xll.BTODAY())-1,"pcs","TUNE"))</f>
        <v/>
      </c>
      <c r="AO13" s="216" t="str" cm="1">
        <f t="array" ref="AO13">IF($B13="","",_xll.BDH($B13,AO$10,_xlfn.SINGLE(_xll.BTODAY())-1,_xlfn.SINGLE(_xll.BTODAY())-1,"pcs","TUNE"))</f>
        <v/>
      </c>
    </row>
  </sheetData>
  <mergeCells count="6">
    <mergeCell ref="AN8:AO8"/>
    <mergeCell ref="D8:G8"/>
    <mergeCell ref="H8:J8"/>
    <mergeCell ref="Z8:AC8"/>
    <mergeCell ref="AJ8:AM8"/>
    <mergeCell ref="K8:Y8"/>
  </mergeCells>
  <conditionalFormatting sqref="B12:K12 M12:N12 P12:S12 U12:V12 X12:AM12">
    <cfRule type="expression" dxfId="91" priority="22">
      <formula>$B12=""</formula>
    </cfRule>
  </conditionalFormatting>
  <conditionalFormatting sqref="AN12:AO12">
    <cfRule type="expression" dxfId="90" priority="14">
      <formula>$B12=""</formula>
    </cfRule>
  </conditionalFormatting>
  <conditionalFormatting sqref="B13:K13 M13:N13 P13:S13 U13:V13 X13:AM13">
    <cfRule type="expression" dxfId="89" priority="11">
      <formula>$B13=""</formula>
    </cfRule>
  </conditionalFormatting>
  <conditionalFormatting sqref="AN13:AO13">
    <cfRule type="expression" dxfId="88" priority="9">
      <formula>$B13=""</formula>
    </cfRule>
  </conditionalFormatting>
  <conditionalFormatting sqref="B11:K11 M11:N11 P11:S11 U11:V11 X11:AM11">
    <cfRule type="expression" dxfId="87" priority="8">
      <formula>$B11=""</formula>
    </cfRule>
  </conditionalFormatting>
  <conditionalFormatting sqref="AN11:AO11">
    <cfRule type="expression" dxfId="86" priority="6">
      <formula>$B11=""</formula>
    </cfRule>
  </conditionalFormatting>
  <conditionalFormatting sqref="L11:L13">
    <cfRule type="expression" dxfId="85" priority="5">
      <formula>$B11=""</formula>
    </cfRule>
  </conditionalFormatting>
  <conditionalFormatting sqref="C8">
    <cfRule type="expression" dxfId="84" priority="4">
      <formula>$B8=""</formula>
    </cfRule>
  </conditionalFormatting>
  <conditionalFormatting sqref="O11:O13">
    <cfRule type="expression" dxfId="83" priority="3">
      <formula>$B11=""</formula>
    </cfRule>
  </conditionalFormatting>
  <conditionalFormatting sqref="T11:T13">
    <cfRule type="expression" dxfId="82" priority="2">
      <formula>$B11=""</formula>
    </cfRule>
  </conditionalFormatting>
  <conditionalFormatting sqref="W11:W13">
    <cfRule type="expression" dxfId="81" priority="1">
      <formula>$B11=""</formula>
    </cfRule>
  </conditionalFormatting>
  <dataValidations count="1">
    <dataValidation type="list" allowBlank="1" showInputMessage="1" showErrorMessage="1" sqref="C8" xr:uid="{00000000-0002-0000-0400-000000000000}">
      <formula1>"BID,ASK"</formula1>
    </dataValidation>
  </dataValidations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B1:AB32"/>
  <sheetViews>
    <sheetView showGridLines="0" showRowColHeaders="0" zoomScaleNormal="100" workbookViewId="0">
      <pane ySplit="6" topLeftCell="A7" activePane="bottomLeft" state="frozen"/>
      <selection pane="bottomLeft" activeCell="B12" sqref="B12"/>
    </sheetView>
  </sheetViews>
  <sheetFormatPr defaultRowHeight="15" x14ac:dyDescent="0.25"/>
  <cols>
    <col min="1" max="1" width="1.7109375" customWidth="1"/>
    <col min="2" max="2" width="14.7109375" customWidth="1"/>
    <col min="3" max="3" width="18.140625" customWidth="1"/>
    <col min="4" max="4" width="11.140625" customWidth="1"/>
    <col min="5" max="5" width="13.85546875" customWidth="1"/>
    <col min="6" max="6" width="10.140625" customWidth="1"/>
    <col min="7" max="8" width="15" customWidth="1"/>
    <col min="9" max="9" width="14.140625" customWidth="1"/>
    <col min="10" max="10" width="14.140625" hidden="1" customWidth="1"/>
    <col min="11" max="11" width="14.140625" customWidth="1"/>
    <col min="12" max="13" width="12.42578125" hidden="1" customWidth="1"/>
    <col min="14" max="14" width="15.28515625" style="32" customWidth="1"/>
    <col min="15" max="15" width="17.28515625" style="32" customWidth="1"/>
    <col min="16" max="16" width="16" style="32" customWidth="1"/>
    <col min="17" max="17" width="16" style="32" hidden="1" customWidth="1"/>
    <col min="18" max="18" width="16" style="32" customWidth="1"/>
    <col min="19" max="19" width="12.85546875" style="32" customWidth="1"/>
    <col min="20" max="22" width="11.7109375" style="32" customWidth="1"/>
    <col min="23" max="23" width="13.28515625" style="32" customWidth="1"/>
    <col min="24" max="25" width="17.5703125" customWidth="1"/>
  </cols>
  <sheetData>
    <row r="1" spans="2:28" ht="5.0999999999999996" customHeight="1" x14ac:dyDescent="0.25"/>
    <row r="2" spans="2:28" ht="15" customHeight="1" x14ac:dyDescent="0.25"/>
    <row r="3" spans="2:28" ht="15" customHeight="1" x14ac:dyDescent="0.25"/>
    <row r="4" spans="2:28" ht="15" customHeight="1" x14ac:dyDescent="0.25"/>
    <row r="5" spans="2:28" ht="5.0999999999999996" customHeight="1" x14ac:dyDescent="0.25"/>
    <row r="6" spans="2:28" hidden="1" x14ac:dyDescent="0.25">
      <c r="B6" s="141" t="str" cm="1">
        <f t="array" ref="B6">_xll.BDP(B11, "short Name")</f>
        <v>BRAZIL-LFT</v>
      </c>
      <c r="D6" s="141"/>
      <c r="E6" s="141" t="str" cm="1">
        <f t="array" ref="E6">_xll.BDP(B11, "des_notes")</f>
        <v>CPN RATE=SELIC FLAT. CPN PD @ MTY. ISS'D IN UNITARY PRICES (PU). BASE DATE FOR  ACC. SELIC IS 07/01/00.</v>
      </c>
      <c r="G6" s="32"/>
      <c r="H6" s="277"/>
      <c r="I6" s="32"/>
      <c r="J6" s="32"/>
      <c r="K6" s="32"/>
      <c r="L6" s="277"/>
      <c r="M6" s="277"/>
      <c r="O6" s="277"/>
      <c r="Q6" s="278" t="s">
        <v>16</v>
      </c>
    </row>
    <row r="7" spans="2:28" x14ac:dyDescent="0.25">
      <c r="G7" s="32"/>
      <c r="H7" s="277"/>
      <c r="I7" s="32"/>
      <c r="J7" s="32"/>
      <c r="K7" s="32"/>
      <c r="L7" s="277"/>
      <c r="M7" s="277"/>
      <c r="O7" s="277"/>
    </row>
    <row r="8" spans="2:28" ht="15" customHeight="1" x14ac:dyDescent="0.25">
      <c r="B8" s="107" t="s">
        <v>150</v>
      </c>
      <c r="C8" s="270" t="s">
        <v>149</v>
      </c>
      <c r="D8" s="327" t="s">
        <v>4</v>
      </c>
      <c r="E8" s="325"/>
      <c r="F8" s="326"/>
      <c r="G8" s="325" t="s">
        <v>26</v>
      </c>
      <c r="H8" s="325"/>
      <c r="I8" s="325"/>
      <c r="J8" s="325"/>
      <c r="K8" s="325"/>
      <c r="L8" s="325"/>
      <c r="M8" s="325"/>
      <c r="N8" s="325"/>
      <c r="O8" s="325"/>
      <c r="P8" s="325"/>
      <c r="Q8" s="325"/>
      <c r="R8" s="326"/>
      <c r="S8" s="325"/>
      <c r="T8" s="325" t="s">
        <v>18</v>
      </c>
      <c r="U8" s="325"/>
      <c r="V8" s="325"/>
      <c r="W8" s="326" t="s">
        <v>358</v>
      </c>
      <c r="X8" s="328"/>
      <c r="Y8" s="329"/>
      <c r="AB8" s="32"/>
    </row>
    <row r="9" spans="2:28" x14ac:dyDescent="0.25">
      <c r="B9" s="82" t="s">
        <v>52</v>
      </c>
      <c r="C9" s="142" t="s">
        <v>10</v>
      </c>
      <c r="D9" s="30" t="s">
        <v>4</v>
      </c>
      <c r="E9" s="30" t="s">
        <v>12</v>
      </c>
      <c r="F9" s="30" t="s">
        <v>25</v>
      </c>
      <c r="G9" s="30" t="s">
        <v>9</v>
      </c>
      <c r="H9" s="30" t="s">
        <v>9</v>
      </c>
      <c r="I9" s="30" t="s">
        <v>7</v>
      </c>
      <c r="J9" s="30" t="s">
        <v>197</v>
      </c>
      <c r="K9" s="30" t="s">
        <v>7</v>
      </c>
      <c r="L9" s="30" t="s">
        <v>7</v>
      </c>
      <c r="M9" s="30"/>
      <c r="N9" s="30" t="s">
        <v>83</v>
      </c>
      <c r="O9" s="30" t="s">
        <v>5</v>
      </c>
      <c r="P9" s="30" t="str">
        <f>$C$8&amp;" PRICE"</f>
        <v>ASK PRICE</v>
      </c>
      <c r="Q9" s="30" t="str">
        <f>$C$8&amp;" PRICE"</f>
        <v>ASK PRICE</v>
      </c>
      <c r="R9" s="30" t="str">
        <f>$C$8&amp;" PRICE"</f>
        <v>ASK PRICE</v>
      </c>
      <c r="S9" s="30" t="s">
        <v>53</v>
      </c>
      <c r="T9" s="30" t="s">
        <v>17</v>
      </c>
      <c r="U9" s="30" t="s">
        <v>14</v>
      </c>
      <c r="V9" s="30" t="s">
        <v>15</v>
      </c>
      <c r="W9" s="30" t="s">
        <v>27</v>
      </c>
      <c r="X9" s="30" t="s">
        <v>359</v>
      </c>
      <c r="Y9" s="83" t="s">
        <v>360</v>
      </c>
      <c r="AB9" s="32"/>
    </row>
    <row r="10" spans="2:28" ht="12.75" hidden="1" customHeight="1" x14ac:dyDescent="0.25">
      <c r="B10" s="178">
        <f>COUNTA(B11:B28)</f>
        <v>16</v>
      </c>
      <c r="C10" s="179"/>
      <c r="D10" s="149" t="s">
        <v>4</v>
      </c>
      <c r="E10" s="149" t="s">
        <v>3</v>
      </c>
      <c r="F10" s="149" t="s">
        <v>24</v>
      </c>
      <c r="G10" s="149" t="s">
        <v>8</v>
      </c>
      <c r="H10" s="146" t="s">
        <v>9</v>
      </c>
      <c r="I10" s="146" t="s">
        <v>1</v>
      </c>
      <c r="J10" s="148"/>
      <c r="K10" s="146"/>
      <c r="L10" s="148" t="s">
        <v>7</v>
      </c>
      <c r="M10" s="148"/>
      <c r="N10" s="146" t="str">
        <f>"YLD_YTM_"&amp;$C$8</f>
        <v>YLD_YTM_ASK</v>
      </c>
      <c r="O10" s="146" t="s">
        <v>5</v>
      </c>
      <c r="P10" s="146" t="str">
        <f>"PX "&amp;$C$8</f>
        <v>PX ASK</v>
      </c>
      <c r="Q10" s="149" t="str">
        <f>"PX "&amp;$C$8</f>
        <v>PX ASK</v>
      </c>
      <c r="R10" s="146" t="str">
        <f>"PX "&amp;$C$8</f>
        <v>PX ASK</v>
      </c>
      <c r="S10" s="146" t="s">
        <v>54</v>
      </c>
      <c r="T10" s="146" t="str">
        <f>"DUR_"&amp;$C$8</f>
        <v>DUR_ASK</v>
      </c>
      <c r="U10" s="146" t="str">
        <f>"DUR_ADJ_"&amp;$C$8</f>
        <v>DUR_ADJ_ASK</v>
      </c>
      <c r="V10" s="146" t="str">
        <f>"CNVX_"&amp;$C$8</f>
        <v>CNVX_ASK</v>
      </c>
      <c r="W10" s="146" t="str">
        <f>"RISK_"&amp;$C$8</f>
        <v>RISK_ASK</v>
      </c>
      <c r="X10" s="146" t="s">
        <v>361</v>
      </c>
      <c r="Y10" s="181" t="s">
        <v>225</v>
      </c>
      <c r="AB10" s="32"/>
    </row>
    <row r="11" spans="2:28" x14ac:dyDescent="0.25">
      <c r="B11" s="182" t="str">
        <f>_xll.BCHAIN("AL9331318 Corp","bonds","","SortBy","maturity","SortOrder","asc","cols=1;rows=16")</f>
        <v>AW700943 Corp</v>
      </c>
      <c r="C11" s="150"/>
      <c r="D11" s="154" cm="1">
        <f t="array" ref="D11">_xll.BDP($B11,D$10)*1</f>
        <v>45901</v>
      </c>
      <c r="E11" s="150" t="str" cm="1">
        <f t="array" ref="E11">_xll.BDP($B11,E$10)</f>
        <v>AT MATURITY</v>
      </c>
      <c r="F11" s="150" cm="1">
        <f t="array" ref="F11">_xll.BDP($B11,F$10)</f>
        <v>16788.902816000002</v>
      </c>
      <c r="G11" s="155" t="str" cm="1">
        <f t="array" ref="G11">IF(B11="","",_xll.BDP($B11,G$10))</f>
        <v>ANDI</v>
      </c>
      <c r="H11" s="170"/>
      <c r="I11" s="156" cm="1">
        <f t="array" ref="I11">_xll.BDP($B11,I$10)*1</f>
        <v>45831</v>
      </c>
      <c r="J11" s="271">
        <f>IF(K11="",_xll.BADDPERIODS(I11,"CDR=BZ","Per=wd","NumberOfPeriods=-2"),_xll.BADDPERIODS(K11,"CDR=BZ","Per=wd","NumberOfPeriods=-1"))</f>
        <v>45826</v>
      </c>
      <c r="K11" s="279"/>
      <c r="L11" s="158" t="str">
        <f>IF(OR(G11="ANDE",H11="ANDE"),TEXT(YEAR(J11)*10000+MONTH(J11)*100+DAY(J11),"00000000"),IF(K11="",TEXT(YEAR(I11)*10000+MONTH(I11)*100+DAY(I11),"00000000"),TEXT(YEAR(K11)*10000+MONTH(K11)*100+DAY(K11),"00000000")))</f>
        <v>20250623</v>
      </c>
      <c r="M11" s="159" t="str">
        <f>TEXT(YEAR(_xll.BADDPERIODS(J11,"CDR=BZ","Per=wd","NumberOfPeriods=2"))*10000+MONTH(_xll.BADDPERIODS(J11,"CDR=BZ","Per=wd","NumberOfPeriods=2"))*100+DAY(_xll.BADDPERIODS(J11,"CDR=BZ","Per=wd","NumberOfPeriods=2")),"00000000")</f>
        <v>20250623</v>
      </c>
      <c r="N11" s="161" cm="1">
        <f t="array" ref="N11">IF(OR(UPPER(G11)="ANDE",UPPER(H11)="ANDE"),_xll.BDP($B11,$N$10,$G$10,H11,$R$10,R11,$I$10,M11),_xll.BDP($B11,$N$10,$G$10,H11,$R$10,R11,$I$10,L11))</f>
        <v>4.0000000000000001E-3</v>
      </c>
      <c r="O11" s="280"/>
      <c r="P11" s="162" cm="1">
        <f t="array" ref="P11">IF(R11="",IF(O11="",_xll.BDP($B11,P$10,$N$10,$N11,$G$10,$H11,$I$10,$L11),_xll.BDP($B11,P$10,$N$10,$O11,$I$10,$M11,$G$10,$H11)),"-")</f>
        <v>16788.768504</v>
      </c>
      <c r="Q11" s="163">
        <f t="shared" ref="Q11:Q28" si="0">IF(O11="",P11,O11)</f>
        <v>16788.768504</v>
      </c>
      <c r="R11" s="281"/>
      <c r="S11" s="282" cm="1">
        <f t="array" ref="S11">_xll.BDP($B11,S$10,$N$10,$O11,$I$10,$L11,$G$10,$H11)</f>
        <v>16.788902816</v>
      </c>
      <c r="T11" s="165" cm="1">
        <f t="array" ref="T11">IF(R11&lt;&gt;"",_xll.BDP($B11,T$10,$I$10,$L11,$G$10,$H11,$R$10,$R11),_xll.BDP($B11,T$10,$N$10,$O11,$I$10,$L11,$G$10,$H11,$R$10,$R11))</f>
        <v>0.19840469941351027</v>
      </c>
      <c r="U11" s="165" cm="1">
        <f t="array" ref="U11">IF(R11&lt;&gt;"",_xll.BDP($B11,U$10,$I$10,$L11,$G$10,$H11,$R$10,$R11),_xll.BDP($B11,U$10,$N$10,$O11,$I$10,$L11,$G$10,$H11,$R$10,$R11))</f>
        <v>0.19840469941351027</v>
      </c>
      <c r="V11" s="165" cm="1">
        <f t="array" ref="V11">IF(R11&lt;&gt;"",_xll.BDP($B11,V$10,$I$10,$L11,$G$10,$H11,$R$10,$R11),_xll.BDP($B11,V$10,$N$10,$O11,$I$10,$L11,$G$10,$H11,$R$10,$R11))</f>
        <v>2.3776115250309258E-3</v>
      </c>
      <c r="W11" s="165" cm="1">
        <f t="array" ref="W11">IF(R11&lt;&gt;"",_xll.BDP($B11,W$10,$I$10,$L11,$G$10,$H11,$R$10,$R11),_xll.BDP($B11,W$10,$N$10,$O11,$I$10,$L11,$G$10,$H11,$R$10,$R11))</f>
        <v>33.309705687133828</v>
      </c>
      <c r="X11" s="165" cm="1">
        <f t="array" ref="X11">IF($B11="","",_xll.BDH($B11,X$10,_xlfn.SINGLE(_xll.BTODAY())-1,_xlfn.SINGLE(_xll.BTODAY())-1,"pcs","TUNE"))</f>
        <v>5.16E-2</v>
      </c>
      <c r="Y11" s="283" cm="1">
        <f t="array" ref="Y11">IF($B11="","",_xll.BDH($B11,Y$10,_xlfn.SINGLE(_xll.BTODAY())-1,_xlfn.SINGLE(_xll.BTODAY())-1,"pcs","TUNE"))</f>
        <v>-3.15E-2</v>
      </c>
      <c r="AB11" s="32"/>
    </row>
    <row r="12" spans="2:28" x14ac:dyDescent="0.25">
      <c r="B12" s="182" t="s">
        <v>415</v>
      </c>
      <c r="C12" s="150"/>
      <c r="D12" s="154" cm="1">
        <f t="array" ref="D12">_xll.BDP($B12,D$10)*1</f>
        <v>46082</v>
      </c>
      <c r="E12" s="150" t="str" cm="1">
        <f t="array" ref="E12">_xll.BDP($B12,E$10)</f>
        <v>AT MATURITY</v>
      </c>
      <c r="F12" s="150" cm="1">
        <f t="array" ref="F12">_xll.BDP($B12,F$10)</f>
        <v>16788.902816000002</v>
      </c>
      <c r="G12" s="155" t="str" cm="1">
        <f t="array" ref="G12">IF(B12="","",_xll.BDP($B12,G$10))</f>
        <v>ANDI</v>
      </c>
      <c r="H12" s="170"/>
      <c r="I12" s="156" cm="1">
        <f t="array" ref="I12">_xll.BDP($B12,I$10)*1</f>
        <v>45831</v>
      </c>
      <c r="J12" s="307">
        <f>IF(K12="",_xll.BADDPERIODS(I12,"CDR=BZ","Per=wd","NumberOfPeriods=-2"),_xll.BADDPERIODS(K12,"CDR=BZ","Per=wd","NumberOfPeriods=-1"))</f>
        <v>45826</v>
      </c>
      <c r="K12" s="279"/>
      <c r="L12" s="158" t="str">
        <f t="shared" ref="L12:L28" si="1">IF(OR(G12="ANDE",H12="ANDE"),TEXT(YEAR(J12)*10000+MONTH(J12)*100+DAY(J12),"00000000"),IF(K12="",TEXT(YEAR(I12)*10000+MONTH(I12)*100+DAY(I12),"00000000"),TEXT(YEAR(K12)*10000+MONTH(K12)*100+DAY(K12),"00000000")))</f>
        <v>20250623</v>
      </c>
      <c r="M12" s="159" t="str">
        <f>TEXT(YEAR(_xll.BADDPERIODS(J12,"CDR=BZ","Per=wd","NumberOfPeriods=2"))*10000+MONTH(_xll.BADDPERIODS(J12,"CDR=BZ","Per=wd","NumberOfPeriods=2"))*100+DAY(_xll.BADDPERIODS(J12,"CDR=BZ","Per=wd","NumberOfPeriods=2")),"00000000")</f>
        <v>20250623</v>
      </c>
      <c r="N12" s="161" cm="1">
        <f t="array" ref="N12">IF(OR(UPPER(G12)="ANDE",UPPER(H12)="ANDE"),_xll.BDP($B12,$N$10,$G$10,H12,$R$10,R12,$I$10,M12),_xll.BDP($B12,$N$10,$G$10,H12,$R$10,R12,$I$10,L12))</f>
        <v>2E-3</v>
      </c>
      <c r="O12" s="280"/>
      <c r="P12" s="162" cm="1">
        <f t="array" ref="P12">IF(R12="",IF(O12="",_xll.BDP($B12,P$10,$N$10,$N12,$G$10,$H12,$I$10,$L12),_xll.BDP($B12,P$10,$N$10,$O12,$I$10,$M12,$G$10,$H12)),"-")</f>
        <v>16788.667771</v>
      </c>
      <c r="Q12" s="163">
        <f t="shared" si="0"/>
        <v>16788.667771</v>
      </c>
      <c r="R12" s="281"/>
      <c r="S12" s="282" cm="1">
        <f t="array" ref="S12">_xll.BDP($B12,S$10,$N$10,$O12,$I$10,$L12,$G$10,$H12)</f>
        <v>16.788902816</v>
      </c>
      <c r="T12" s="165" cm="1">
        <f t="array" ref="T12">IF(R12&lt;&gt;"",_xll.BDP($B12,T$10,$I$10,$L12,$G$10,$H12,$R$10,$R12),_xll.BDP($B12,T$10,$N$10,$O12,$I$10,$L12,$G$10,$H12,$R$10,$R12))</f>
        <v>0.69443044977170676</v>
      </c>
      <c r="U12" s="165" cm="1">
        <f t="array" ref="U12">IF(R12&lt;&gt;"",_xll.BDP($B12,U$10,$I$10,$L12,$G$10,$H12,$R$10,$R12),_xll.BDP($B12,U$10,$N$10,$O12,$I$10,$L12,$G$10,$H12,$R$10,$R12))</f>
        <v>0.69443044977170676</v>
      </c>
      <c r="V12" s="165" cm="1">
        <f t="array" ref="V12">IF(R12&lt;&gt;"",_xll.BDP($B12,V$10,$I$10,$L12,$G$10,$H12,$R$10,$R12),_xll.BDP($B12,V$10,$N$10,$O12,$I$10,$L12,$G$10,$H12,$R$10,$R12))</f>
        <v>1.1766500740494356E-2</v>
      </c>
      <c r="W12" s="165" cm="1">
        <f t="array" ref="W12">IF(R12&lt;&gt;"",_xll.BDP($B12,W$10,$I$10,$L12,$G$10,$H12,$R$10,$R12),_xll.BDP($B12,W$10,$N$10,$O12,$I$10,$L12,$G$10,$H12,$R$10,$R12))</f>
        <v>116.58562111533683</v>
      </c>
      <c r="X12" s="165" cm="1">
        <f t="array" ref="X12">IF($B12="","",_xll.BDH($B12,X$10,_xlfn.SINGLE(_xll.BTODAY())-1,_xlfn.SINGLE(_xll.BTODAY())-1,"pcs","TUNE"))</f>
        <v>2.5700000000000001E-2</v>
      </c>
      <c r="Y12" s="283" cm="1">
        <f t="array" ref="Y12">IF($B12="","",_xll.BDH($B12,Y$10,_xlfn.SINGLE(_xll.BTODAY())-1,_xlfn.SINGLE(_xll.BTODAY())-1,"pcs","TUNE"))</f>
        <v>-2.7699999999999999E-2</v>
      </c>
      <c r="AB12" s="32"/>
    </row>
    <row r="13" spans="2:28" x14ac:dyDescent="0.25">
      <c r="B13" s="182" t="s">
        <v>416</v>
      </c>
      <c r="C13" s="150"/>
      <c r="D13" s="154" cm="1">
        <f t="array" ref="D13">_xll.BDP($B13,D$10)*1</f>
        <v>46266</v>
      </c>
      <c r="E13" s="150" t="str" cm="1">
        <f t="array" ref="E13">_xll.BDP($B13,E$10)</f>
        <v>AT MATURITY</v>
      </c>
      <c r="F13" s="150" cm="1">
        <f t="array" ref="F13">_xll.BDP($B13,F$10)</f>
        <v>16788.902816000002</v>
      </c>
      <c r="G13" s="155" t="str" cm="1">
        <f t="array" ref="G13">IF(B13="","",_xll.BDP($B13,G$10))</f>
        <v>ANDI</v>
      </c>
      <c r="H13" s="170"/>
      <c r="I13" s="156" cm="1">
        <f t="array" ref="I13">_xll.BDP($B13,I$10)*1</f>
        <v>45831</v>
      </c>
      <c r="J13" s="271">
        <f>IF(K13="",_xll.BADDPERIODS(I13,"CDR=BZ","Per=wd","NumberOfPeriods=-2"),_xll.BADDPERIODS(K13,"CDR=BZ","Per=wd","NumberOfPeriods=-1"))</f>
        <v>45826</v>
      </c>
      <c r="K13" s="279"/>
      <c r="L13" s="158" t="str">
        <f t="shared" si="1"/>
        <v>20250623</v>
      </c>
      <c r="M13" s="159" t="str">
        <f>TEXT(YEAR(_xll.BADDPERIODS(J13,"CDR=BZ","Per=wd","NumberOfPeriods=2"))*10000+MONTH(_xll.BADDPERIODS(J13,"CDR=BZ","Per=wd","NumberOfPeriods=2"))*100+DAY(_xll.BADDPERIODS(J13,"CDR=BZ","Per=wd","NumberOfPeriods=2")),"00000000")</f>
        <v>20250623</v>
      </c>
      <c r="N13" s="161" cm="1">
        <f t="array" ref="N13">IF(OR(UPPER(G13)="ANDE",UPPER(H13)="ANDE"),_xll.BDP($B13,$N$10,$G$10,H13,$R$10,R13,$I$10,M13),_xll.BDP($B13,$N$10,$G$10,H13,$R$10,R13,$I$10,L13))</f>
        <v>1E-3</v>
      </c>
      <c r="O13" s="280"/>
      <c r="P13" s="162" cm="1">
        <f t="array" ref="P13">IF(R13="",IF(O13="",_xll.BDP($B13,P$10,$N$10,$N13,$G$10,$H13,$I$10,$L13),_xll.BDP($B13,P$10,$N$10,$O13,$I$10,$M13,$G$10,$H13)),"-")</f>
        <v>16788.701348999999</v>
      </c>
      <c r="Q13" s="163">
        <f t="shared" si="0"/>
        <v>16788.701348999999</v>
      </c>
      <c r="R13" s="281"/>
      <c r="S13" s="282" cm="1">
        <f t="array" ref="S13">_xll.BDP($B13,S$10,$N$10,$O13,$I$10,$L13,$G$10,$H13)</f>
        <v>16.788902816</v>
      </c>
      <c r="T13" s="165" cm="1">
        <f t="array" ref="T13">IF(R13&lt;&gt;"",_xll.BDP($B13,T$10,$I$10,$L13,$G$10,$H13,$R$10,$R13),_xll.BDP($B13,T$10,$N$10,$O13,$I$10,$L13,$G$10,$H13,$R$10,$R13))</f>
        <v>1.1984007124444631</v>
      </c>
      <c r="U13" s="165" cm="1">
        <f t="array" ref="U13">IF(R13&lt;&gt;"",_xll.BDP($B13,U$10,$I$10,$L13,$G$10,$H13,$R$10,$R13),_xll.BDP($B13,U$10,$N$10,$O13,$I$10,$L13,$G$10,$H13,$R$10,$R13))</f>
        <v>1.1984007124444631</v>
      </c>
      <c r="V13" s="165" cm="1">
        <f t="array" ref="V13">IF(R13&lt;&gt;"",_xll.BDP($B13,V$10,$I$10,$L13,$G$10,$H13,$R$10,$R13),_xll.BDP($B13,V$10,$N$10,$O13,$I$10,$L13,$G$10,$H13,$R$10,$R13))</f>
        <v>2.6345529350304372E-2</v>
      </c>
      <c r="W13" s="165" cm="1">
        <f t="array" ref="W13">IF(R13&lt;&gt;"",_xll.BDP($B13,W$10,$I$10,$L13,$G$10,$H13,$R$10,$R13),_xll.BDP($B13,W$10,$N$10,$O13,$I$10,$L13,$G$10,$H13,$R$10,$R13))</f>
        <v>201.19591657858109</v>
      </c>
      <c r="X13" s="165" cm="1">
        <f t="array" ref="X13">IF($B13="","",_xll.BDH($B13,X$10,_xlfn.SINGLE(_xll.BTODAY())-1,_xlfn.SINGLE(_xll.BTODAY())-1,"pcs","TUNE"))</f>
        <v>0.02</v>
      </c>
      <c r="Y13" s="283" cm="1">
        <f t="array" ref="Y13">IF($B13="","",_xll.BDH($B13,Y$10,_xlfn.SINGLE(_xll.BTODAY())-1,_xlfn.SINGLE(_xll.BTODAY())-1,"pcs","TUNE"))</f>
        <v>-1.14E-2</v>
      </c>
      <c r="AB13" s="32"/>
    </row>
    <row r="14" spans="2:28" x14ac:dyDescent="0.25">
      <c r="B14" s="182" t="s">
        <v>417</v>
      </c>
      <c r="C14" s="150"/>
      <c r="D14" s="154" cm="1">
        <f t="array" ref="D14">_xll.BDP($B14,D$10)*1</f>
        <v>46447</v>
      </c>
      <c r="E14" s="150" t="str" cm="1">
        <f t="array" ref="E14">_xll.BDP($B14,E$10)</f>
        <v>AT MATURITY</v>
      </c>
      <c r="F14" s="150" cm="1">
        <f t="array" ref="F14">_xll.BDP($B14,F$10)</f>
        <v>16788.902816000002</v>
      </c>
      <c r="G14" s="155" t="str" cm="1">
        <f t="array" ref="G14">IF(B14="","",_xll.BDP($B14,G$10))</f>
        <v>ANDI</v>
      </c>
      <c r="H14" s="170"/>
      <c r="I14" s="156" cm="1">
        <f t="array" ref="I14">_xll.BDP($B14,I$10)*1</f>
        <v>45831</v>
      </c>
      <c r="J14" s="271">
        <f>IF(K14="",_xll.BADDPERIODS(I14,"CDR=BZ","Per=wd","NumberOfPeriods=-2"),_xll.BADDPERIODS(K14,"CDR=BZ","Per=wd","NumberOfPeriods=-1"))</f>
        <v>45826</v>
      </c>
      <c r="K14" s="279"/>
      <c r="L14" s="158" t="str">
        <f t="shared" si="1"/>
        <v>20250623</v>
      </c>
      <c r="M14" s="159" t="str">
        <f>TEXT(YEAR(_xll.BADDPERIODS(J14,"CDR=BZ","Per=wd","NumberOfPeriods=2"))*10000+MONTH(_xll.BADDPERIODS(J14,"CDR=BZ","Per=wd","NumberOfPeriods=2"))*100+DAY(_xll.BADDPERIODS(J14,"CDR=BZ","Per=wd","NumberOfPeriods=2")),"00000000")</f>
        <v>20250623</v>
      </c>
      <c r="N14" s="161" cm="1">
        <f t="array" ref="N14">IF(OR(UPPER(G14)="ANDE",UPPER(H14)="ANDE"),_xll.BDP($B14,$N$10,$G$10,H14,$R$10,R14,$I$10,M14),_xll.BDP($B14,$N$10,$G$10,H14,$R$10,R14,$I$10,L14))</f>
        <v>3.0800000000000001E-2</v>
      </c>
      <c r="O14" s="280"/>
      <c r="P14" s="162" cm="1">
        <f t="array" ref="P14">IF(R14="",IF(O14="",_xll.BDP($B14,P$10,$N$10,$N14,$G$10,$H14,$I$10,$L14),_xll.BDP($B14,P$10,$N$10,$O14,$I$10,$M14,$G$10,$H14)),"-")</f>
        <v>16780.222953</v>
      </c>
      <c r="Q14" s="163">
        <f t="shared" si="0"/>
        <v>16780.222953</v>
      </c>
      <c r="R14" s="281"/>
      <c r="S14" s="282" cm="1">
        <f t="array" ref="S14">_xll.BDP($B14,S$10,$N$10,$O14,$I$10,$L14,$G$10,$H14)</f>
        <v>16.788902816</v>
      </c>
      <c r="T14" s="165" cm="1">
        <f t="array" ref="T14">IF(R14&lt;&gt;"",_xll.BDP($B14,T$10,$I$10,$L14,$G$10,$H14,$R$10,$R14),_xll.BDP($B14,T$10,$N$10,$O14,$I$10,$L14,$G$10,$H14,$R$10,$R14))</f>
        <v>1.6780544020719421</v>
      </c>
      <c r="U14" s="165" cm="1">
        <f t="array" ref="U14">IF(R14&lt;&gt;"",_xll.BDP($B14,U$10,$I$10,$L14,$G$10,$H14,$R$10,$R14),_xll.BDP($B14,U$10,$N$10,$O14,$I$10,$L14,$G$10,$H14,$R$10,$R14))</f>
        <v>1.6780544020719421</v>
      </c>
      <c r="V14" s="165" cm="1">
        <f t="array" ref="V14">IF(R14&lt;&gt;"",_xll.BDP($B14,V$10,$I$10,$L14,$G$10,$H14,$R$10,$R14),_xll.BDP($B14,V$10,$N$10,$O14,$I$10,$L14,$G$10,$H14,$R$10,$R14))</f>
        <v>4.4934040861530675E-2</v>
      </c>
      <c r="W14" s="165" cm="1">
        <f t="array" ref="W14">IF(R14&lt;&gt;"",_xll.BDP($B14,W$10,$I$10,$L14,$G$10,$H14,$R$10,$R14),_xll.BDP($B14,W$10,$N$10,$O14,$I$10,$L14,$G$10,$H14,$R$10,$R14))</f>
        <v>281.58126994439954</v>
      </c>
      <c r="X14" s="165" cm="1">
        <f t="array" ref="X14">IF($B14="","",_xll.BDH($B14,X$10,_xlfn.SINGLE(_xll.BTODAY())-1,_xlfn.SINGLE(_xll.BTODAY())-1,"pcs","TUNE"))</f>
        <v>4.6399999999999997E-2</v>
      </c>
      <c r="Y14" s="283" cm="1">
        <f t="array" ref="Y14">IF($B14="","",_xll.BDH($B14,Y$10,_xlfn.SINGLE(_xll.BTODAY())-1,_xlfn.SINGLE(_xll.BTODAY())-1,"pcs","TUNE"))</f>
        <v>-2.5000000000000001E-3</v>
      </c>
      <c r="AB14" s="32"/>
    </row>
    <row r="15" spans="2:28" x14ac:dyDescent="0.25">
      <c r="B15" s="182" t="s">
        <v>418</v>
      </c>
      <c r="C15" s="150"/>
      <c r="D15" s="154" cm="1">
        <f t="array" ref="D15">_xll.BDP($B15,D$10)*1</f>
        <v>46631</v>
      </c>
      <c r="E15" s="150" t="str" cm="1">
        <f t="array" ref="E15">_xll.BDP($B15,E$10)</f>
        <v>AT MATURITY</v>
      </c>
      <c r="F15" s="150" cm="1">
        <f t="array" ref="F15">_xll.BDP($B15,F$10)</f>
        <v>16788.902816000002</v>
      </c>
      <c r="G15" s="155" t="str" cm="1">
        <f t="array" ref="G15">IF(B15="","",_xll.BDP($B15,G$10))</f>
        <v>ANDI</v>
      </c>
      <c r="H15" s="170"/>
      <c r="I15" s="156" cm="1">
        <f t="array" ref="I15">_xll.BDP($B15,I$10)*1</f>
        <v>45831</v>
      </c>
      <c r="J15" s="271">
        <f>IF(K15="",_xll.BADDPERIODS(I15,"CDR=BZ","Per=wd","NumberOfPeriods=-2"),_xll.BADDPERIODS(K15,"CDR=BZ","Per=wd","NumberOfPeriods=-1"))</f>
        <v>45826</v>
      </c>
      <c r="K15" s="279"/>
      <c r="L15" s="158" t="str">
        <f t="shared" si="1"/>
        <v>20250623</v>
      </c>
      <c r="M15" s="159" t="str">
        <f>TEXT(YEAR(_xll.BADDPERIODS(J15,"CDR=BZ","Per=wd","NumberOfPeriods=2"))*10000+MONTH(_xll.BADDPERIODS(J15,"CDR=BZ","Per=wd","NumberOfPeriods=2"))*100+DAY(_xll.BADDPERIODS(J15,"CDR=BZ","Per=wd","NumberOfPeriods=2")),"00000000")</f>
        <v>20250623</v>
      </c>
      <c r="N15" s="161" cm="1">
        <f t="array" ref="N15">IF(OR(UPPER(G15)="ANDE",UPPER(H15)="ANDE"),_xll.BDP($B15,$N$10,$G$10,H15,$R$10,R15,$I$10,M15),_xll.BDP($B15,$N$10,$G$10,H15,$R$10,R15,$I$10,L15))</f>
        <v>4.1700000000000001E-2</v>
      </c>
      <c r="O15" s="280"/>
      <c r="P15" s="162" cm="1">
        <f t="array" ref="P15">IF(R15="",IF(O15="",_xll.BDP($B15,P$10,$N$10,$N15,$G$10,$H15,$I$10,$L15),_xll.BDP($B15,P$10,$N$10,$O15,$I$10,$M15,$G$10,$H15)),"-")</f>
        <v>16773.574547</v>
      </c>
      <c r="Q15" s="163">
        <f t="shared" si="0"/>
        <v>16773.574547</v>
      </c>
      <c r="R15" s="281"/>
      <c r="S15" s="282" cm="1">
        <f t="array" ref="S15">_xll.BDP($B15,S$10,$N$10,$O15,$I$10,$L15,$G$10,$H15)</f>
        <v>16.788902816</v>
      </c>
      <c r="T15" s="165" cm="1">
        <f t="array" ref="T15">IF(R15&lt;&gt;"",_xll.BDP($B15,T$10,$I$10,$L15,$G$10,$H15,$R$10,$R15),_xll.BDP($B15,T$10,$N$10,$O15,$I$10,$L15,$G$10,$H15,$R$10,$R15))</f>
        <v>2.1895620121073471</v>
      </c>
      <c r="U15" s="165" cm="1">
        <f t="array" ref="U15">IF(R15&lt;&gt;"",_xll.BDP($B15,U$10,$I$10,$L15,$G$10,$H15,$R$10,$R15),_xll.BDP($B15,U$10,$N$10,$O15,$I$10,$L15,$G$10,$H15,$R$10,$R15))</f>
        <v>2.1895620121073471</v>
      </c>
      <c r="V15" s="165" cm="1">
        <f t="array" ref="V15">IF(R15&lt;&gt;"",_xll.BDP($B15,V$10,$I$10,$L15,$G$10,$H15,$R$10,$R15),_xll.BDP($B15,V$10,$N$10,$O15,$I$10,$L15,$G$10,$H15,$R$10,$R15))</f>
        <v>6.9828298356103879E-2</v>
      </c>
      <c r="W15" s="165" cm="1">
        <f t="array" ref="W15">IF(R15&lt;&gt;"",_xll.BDP($B15,W$10,$I$10,$L15,$G$10,$H15,$R$10,$R15),_xll.BDP($B15,W$10,$N$10,$O15,$I$10,$L15,$G$10,$H15,$R$10,$R15))</f>
        <v>367.26744876614248</v>
      </c>
      <c r="X15" s="165" cm="1">
        <f t="array" ref="X15">IF($B15="","",_xll.BDH($B15,X$10,_xlfn.SINGLE(_xll.BTODAY())-1,_xlfn.SINGLE(_xll.BTODAY())-1,"pcs","TUNE"))</f>
        <v>5.3800000000000001E-2</v>
      </c>
      <c r="Y15" s="283" cm="1">
        <f t="array" ref="Y15">IF($B15="","",_xll.BDH($B15,Y$10,_xlfn.SINGLE(_xll.BTODAY())-1,_xlfn.SINGLE(_xll.BTODAY())-1,"pcs","TUNE"))</f>
        <v>3.27E-2</v>
      </c>
      <c r="AB15" s="32"/>
    </row>
    <row r="16" spans="2:28" x14ac:dyDescent="0.25">
      <c r="B16" s="182" t="s">
        <v>419</v>
      </c>
      <c r="C16" s="150"/>
      <c r="D16" s="154" cm="1">
        <f t="array" ref="D16">_xll.BDP($B16,D$10)*1</f>
        <v>46813</v>
      </c>
      <c r="E16" s="150" t="str" cm="1">
        <f t="array" ref="E16">_xll.BDP($B16,E$10)</f>
        <v>AT MATURITY</v>
      </c>
      <c r="F16" s="150" cm="1">
        <f t="array" ref="F16">_xll.BDP($B16,F$10)</f>
        <v>16788.902816000002</v>
      </c>
      <c r="G16" s="155" t="str" cm="1">
        <f t="array" ref="G16">IF(B16="","",_xll.BDP($B16,G$10))</f>
        <v>ANDI</v>
      </c>
      <c r="H16" s="170"/>
      <c r="I16" s="156" cm="1">
        <f t="array" ref="I16">_xll.BDP($B16,I$10)*1</f>
        <v>45831</v>
      </c>
      <c r="J16" s="271">
        <f>IF(K16="",_xll.BADDPERIODS(I16,"CDR=BZ","Per=wd","NumberOfPeriods=-2"),_xll.BADDPERIODS(K16,"CDR=BZ","Per=wd","NumberOfPeriods=-1"))</f>
        <v>45826</v>
      </c>
      <c r="K16" s="279"/>
      <c r="L16" s="158" t="str">
        <f t="shared" si="1"/>
        <v>20250623</v>
      </c>
      <c r="M16" s="159" t="str">
        <f>TEXT(YEAR(_xll.BADDPERIODS(J16,"CDR=BZ","Per=wd","NumberOfPeriods=2"))*10000+MONTH(_xll.BADDPERIODS(J16,"CDR=BZ","Per=wd","NumberOfPeriods=2"))*100+DAY(_xll.BADDPERIODS(J16,"CDR=BZ","Per=wd","NumberOfPeriods=2")),"00000000")</f>
        <v>20250623</v>
      </c>
      <c r="N16" s="161" cm="1">
        <f t="array" ref="N16">IF(OR(UPPER(G16)="ANDE",UPPER(H16)="ANDE"),_xll.BDP($B16,$N$10,$G$10,H16,$R$10,R16,$I$10,M16),_xll.BDP($B16,$N$10,$G$10,H16,$R$10,R16,$I$10,L16))</f>
        <v>4.87E-2</v>
      </c>
      <c r="O16" s="280"/>
      <c r="P16" s="162" cm="1">
        <f t="array" ref="P16">IF(R16="",IF(O16="",_xll.BDP($B16,P$10,$N$10,$N16,$G$10,$H16,$I$10,$L16),_xll.BDP($B16,P$10,$N$10,$O16,$I$10,$M16,$G$10,$H16)),"-")</f>
        <v>16766.976508</v>
      </c>
      <c r="Q16" s="163">
        <f t="shared" si="0"/>
        <v>16766.976508</v>
      </c>
      <c r="R16" s="281"/>
      <c r="S16" s="282" cm="1">
        <f t="array" ref="S16">_xll.BDP($B16,S$10,$N$10,$O16,$I$10,$L16,$G$10,$H16)</f>
        <v>16.788902816</v>
      </c>
      <c r="T16" s="165" cm="1">
        <f t="array" ref="T16">IF(R16&lt;&gt;"",_xll.BDP($B16,T$10,$I$10,$L16,$G$10,$H16,$R$10,$R16),_xll.BDP($B16,T$10,$N$10,$O16,$I$10,$L16,$G$10,$H16,$R$10,$R16))</f>
        <v>2.681232223417032</v>
      </c>
      <c r="U16" s="165" cm="1">
        <f t="array" ref="U16">IF(R16&lt;&gt;"",_xll.BDP($B16,U$10,$I$10,$L16,$G$10,$H16,$R$10,$R16),_xll.BDP($B16,U$10,$N$10,$O16,$I$10,$L16,$G$10,$H16,$R$10,$R16))</f>
        <v>2.681232223417032</v>
      </c>
      <c r="V16" s="165" cm="1">
        <f t="array" ref="V16">IF(R16&lt;&gt;"",_xll.BDP($B16,V$10,$I$10,$L16,$G$10,$H16,$R$10,$R16),_xll.BDP($B16,V$10,$N$10,$O16,$I$10,$L16,$G$10,$H16,$R$10,$R16))</f>
        <v>9.8689313092396203E-2</v>
      </c>
      <c r="W16" s="165" cm="1">
        <f t="array" ref="W16">IF(R16&lt;&gt;"",_xll.BDP($B16,W$10,$I$10,$L16,$G$10,$H16,$R$10,$R16),_xll.BDP($B16,W$10,$N$10,$O16,$I$10,$L16,$G$10,$H16,$R$10,$R16))</f>
        <v>449.56112690051668</v>
      </c>
      <c r="X16" s="165" cm="1">
        <f t="array" ref="X16">IF($B16="","",_xll.BDH($B16,X$10,_xlfn.SINGLE(_xll.BTODAY())-1,_xlfn.SINGLE(_xll.BTODAY())-1,"pcs","TUNE"))</f>
        <v>8.6900000000000005E-2</v>
      </c>
      <c r="Y16" s="283" cm="1">
        <f t="array" ref="Y16">IF($B16="","",_xll.BDH($B16,Y$10,_xlfn.SINGLE(_xll.BTODAY())-1,_xlfn.SINGLE(_xll.BTODAY())-1,"pcs","TUNE"))</f>
        <v>3.8800000000000001E-2</v>
      </c>
      <c r="AB16" s="32"/>
    </row>
    <row r="17" spans="2:28" x14ac:dyDescent="0.25">
      <c r="B17" s="182" t="s">
        <v>420</v>
      </c>
      <c r="C17" s="150"/>
      <c r="D17" s="154" cm="1">
        <f t="array" ref="D17">_xll.BDP($B17,D$10)*1</f>
        <v>46997</v>
      </c>
      <c r="E17" s="150" t="str" cm="1">
        <f t="array" ref="E17">_xll.BDP($B17,E$10)</f>
        <v>AT MATURITY</v>
      </c>
      <c r="F17" s="150" cm="1">
        <f t="array" ref="F17">_xll.BDP($B17,F$10)</f>
        <v>16788.902816000002</v>
      </c>
      <c r="G17" s="155" t="str" cm="1">
        <f t="array" ref="G17">IF(B17="","",_xll.BDP($B17,G$10))</f>
        <v>ANDI</v>
      </c>
      <c r="H17" s="170"/>
      <c r="I17" s="156" cm="1">
        <f t="array" ref="I17">_xll.BDP($B17,I$10)*1</f>
        <v>45831</v>
      </c>
      <c r="J17" s="271">
        <f>IF(K17="",_xll.BADDPERIODS(I17,"CDR=BZ","Per=wd","NumberOfPeriods=-2"),_xll.BADDPERIODS(K17,"CDR=BZ","Per=wd","NumberOfPeriods=-1"))</f>
        <v>45826</v>
      </c>
      <c r="K17" s="279"/>
      <c r="L17" s="158" t="str">
        <f t="shared" si="1"/>
        <v>20250623</v>
      </c>
      <c r="M17" s="159" t="str">
        <f>TEXT(YEAR(_xll.BADDPERIODS(J17,"CDR=BZ","Per=wd","NumberOfPeriods=2"))*10000+MONTH(_xll.BADDPERIODS(J17,"CDR=BZ","Per=wd","NumberOfPeriods=2"))*100+DAY(_xll.BADDPERIODS(J17,"CDR=BZ","Per=wd","NumberOfPeriods=2")),"00000000")</f>
        <v>20250623</v>
      </c>
      <c r="N17" s="161" cm="1">
        <f t="array" ref="N17">IF(OR(UPPER(G17)="ANDE",UPPER(H17)="ANDE"),_xll.BDP($B17,$N$10,$G$10,H17,$R$10,R17,$I$10,M17),_xll.BDP($B17,$N$10,$G$10,H17,$R$10,R17,$I$10,L17))</f>
        <v>7.1400000000000005E-2</v>
      </c>
      <c r="O17" s="280"/>
      <c r="P17" s="162" cm="1">
        <f t="array" ref="P17">IF(R17="",IF(O17="",_xll.BDP($B17,P$10,$N$10,$N17,$G$10,$H17,$I$10,$L17),_xll.BDP($B17,P$10,$N$10,$O17,$I$10,$M17,$G$10,$H17)),"-")</f>
        <v>16750.708062000002</v>
      </c>
      <c r="Q17" s="163">
        <f t="shared" si="0"/>
        <v>16750.708062000002</v>
      </c>
      <c r="R17" s="281"/>
      <c r="S17" s="282" cm="1">
        <f t="array" ref="S17">_xll.BDP($B17,S$10,$N$10,$O17,$I$10,$L17,$G$10,$H17)</f>
        <v>16.788902816</v>
      </c>
      <c r="T17" s="165" cm="1">
        <f t="array" ref="T17">IF(R17&lt;&gt;"",_xll.BDP($B17,T$10,$I$10,$L17,$G$10,$H17,$R$10,$R17),_xll.BDP($B17,T$10,$N$10,$O17,$I$10,$L17,$G$10,$H17,$R$10,$R17))</f>
        <v>3.188198525338426</v>
      </c>
      <c r="U17" s="165" cm="1">
        <f t="array" ref="U17">IF(R17&lt;&gt;"",_xll.BDP($B17,U$10,$I$10,$L17,$G$10,$H17,$R$10,$R17),_xll.BDP($B17,U$10,$N$10,$O17,$I$10,$L17,$G$10,$H17,$R$10,$R17))</f>
        <v>3.188198525338426</v>
      </c>
      <c r="V17" s="165" cm="1">
        <f t="array" ref="V17">IF(R17&lt;&gt;"",_xll.BDP($B17,V$10,$I$10,$L17,$G$10,$H17,$R$10,$R17),_xll.BDP($B17,V$10,$N$10,$O17,$I$10,$L17,$G$10,$H17,$R$10,$R17))</f>
        <v>0.13350531779645622</v>
      </c>
      <c r="W17" s="165" cm="1">
        <f t="array" ref="W17">IF(R17&lt;&gt;"",_xll.BDP($B17,W$10,$I$10,$L17,$G$10,$H17,$R$10,$R17),_xll.BDP($B17,W$10,$N$10,$O17,$I$10,$L17,$G$10,$H17,$R$10,$R17))</f>
        <v>534.04529215586081</v>
      </c>
      <c r="X17" s="165" cm="1">
        <f t="array" ref="X17">IF($B17="","",_xll.BDH($B17,X$10,_xlfn.SINGLE(_xll.BTODAY())-1,_xlfn.SINGLE(_xll.BTODAY())-1,"pcs","TUNE"))</f>
        <v>0.1022</v>
      </c>
      <c r="Y17" s="283" cm="1">
        <f t="array" ref="Y17">IF($B17="","",_xll.BDH($B17,Y$10,_xlfn.SINGLE(_xll.BTODAY())-1,_xlfn.SINGLE(_xll.BTODAY())-1,"pcs","TUNE"))</f>
        <v>6.0600000000000001E-2</v>
      </c>
      <c r="AB17" s="32"/>
    </row>
    <row r="18" spans="2:28" x14ac:dyDescent="0.25">
      <c r="B18" s="182" t="s">
        <v>421</v>
      </c>
      <c r="C18" s="150"/>
      <c r="D18" s="154" cm="1">
        <f t="array" ref="D18">_xll.BDP($B18,D$10)*1</f>
        <v>47178</v>
      </c>
      <c r="E18" s="150" t="str" cm="1">
        <f t="array" ref="E18">_xll.BDP($B18,E$10)</f>
        <v>AT MATURITY</v>
      </c>
      <c r="F18" s="150" cm="1">
        <f t="array" ref="F18">_xll.BDP($B18,F$10)</f>
        <v>16788.902816000002</v>
      </c>
      <c r="G18" s="155" t="str" cm="1">
        <f t="array" ref="G18">IF(B18="","",_xll.BDP($B18,G$10))</f>
        <v>ANDI</v>
      </c>
      <c r="H18" s="170"/>
      <c r="I18" s="156" cm="1">
        <f t="array" ref="I18">_xll.BDP($B18,I$10)*1</f>
        <v>45831</v>
      </c>
      <c r="J18" s="271">
        <f>IF(K18="",_xll.BADDPERIODS(I18,"CDR=BZ","Per=wd","NumberOfPeriods=-2"),_xll.BADDPERIODS(K18,"CDR=BZ","Per=wd","NumberOfPeriods=-1"))</f>
        <v>45826</v>
      </c>
      <c r="K18" s="279"/>
      <c r="L18" s="158" t="str">
        <f t="shared" si="1"/>
        <v>20250623</v>
      </c>
      <c r="M18" s="159" t="str">
        <f>TEXT(YEAR(_xll.BADDPERIODS(J18,"CDR=BZ","Per=wd","NumberOfPeriods=2"))*10000+MONTH(_xll.BADDPERIODS(J18,"CDR=BZ","Per=wd","NumberOfPeriods=2"))*100+DAY(_xll.BADDPERIODS(J18,"CDR=BZ","Per=wd","NumberOfPeriods=2")),"00000000")</f>
        <v>20250623</v>
      </c>
      <c r="N18" s="161" cm="1">
        <f t="array" ref="N18">IF(OR(UPPER(G18)="ANDE",UPPER(H18)="ANDE"),_xll.BDP($B18,$N$10,$G$10,H18,$R$10,R18,$I$10,M18),_xll.BDP($B18,$N$10,$G$10,H18,$R$10,R18,$I$10,L18))</f>
        <v>9.5100000000000004E-2</v>
      </c>
      <c r="O18" s="280"/>
      <c r="P18" s="162" cm="1">
        <f t="array" ref="P18">IF(R18="",IF(O18="",_xll.BDP($B18,P$10,$N$10,$N18,$G$10,$H18,$I$10,$L18),_xll.BDP($B18,P$10,$N$10,$O18,$I$10,$M18,$G$10,$H18)),"-")</f>
        <v>16730.477434</v>
      </c>
      <c r="Q18" s="163">
        <f t="shared" si="0"/>
        <v>16730.477434</v>
      </c>
      <c r="R18" s="281"/>
      <c r="S18" s="282" cm="1">
        <f t="array" ref="S18">_xll.BDP($B18,S$10,$N$10,$O18,$I$10,$L18,$G$10,$H18)</f>
        <v>16.788902816</v>
      </c>
      <c r="T18" s="165" cm="1">
        <f t="array" ref="T18">IF(R18&lt;&gt;"",_xll.BDP($B18,T$10,$I$10,$L18,$G$10,$H18,$R$10,$R18),_xll.BDP($B18,T$10,$N$10,$O18,$I$10,$L18,$G$10,$H18,$R$10,$R18))</f>
        <v>3.6631814126460558</v>
      </c>
      <c r="U18" s="165" cm="1">
        <f t="array" ref="U18">IF(R18&lt;&gt;"",_xll.BDP($B18,U$10,$I$10,$L18,$G$10,$H18,$R$10,$R18),_xll.BDP($B18,U$10,$N$10,$O18,$I$10,$L18,$G$10,$H18,$R$10,$R18))</f>
        <v>3.6631814126460558</v>
      </c>
      <c r="V18" s="165" cm="1">
        <f t="array" ref="V18">IF(R18&lt;&gt;"",_xll.BDP($B18,V$10,$I$10,$L18,$G$10,$H18,$R$10,$R18),_xll.BDP($B18,V$10,$N$10,$O18,$I$10,$L18,$G$10,$H18,$R$10,$R18))</f>
        <v>0.17078596558400086</v>
      </c>
      <c r="W18" s="165" cm="1">
        <f t="array" ref="W18">IF(R18&lt;&gt;"",_xll.BDP($B18,W$10,$I$10,$L18,$G$10,$H18,$R$10,$R18),_xll.BDP($B18,W$10,$N$10,$O18,$I$10,$L18,$G$10,$H18,$R$10,$R18))</f>
        <v>612.86712460860144</v>
      </c>
      <c r="X18" s="165" cm="1">
        <f t="array" ref="X18">IF($B18="","",_xll.BDH($B18,X$10,_xlfn.SINGLE(_xll.BTODAY())-1,_xlfn.SINGLE(_xll.BTODAY())-1,"pcs","TUNE"))</f>
        <v>0.1069</v>
      </c>
      <c r="Y18" s="283" cm="1">
        <f t="array" ref="Y18">IF($B18="","",_xll.BDH($B18,Y$10,_xlfn.SINGLE(_xll.BTODAY())-1,_xlfn.SINGLE(_xll.BTODAY())-1,"pcs","TUNE"))</f>
        <v>8.4400000000000003E-2</v>
      </c>
      <c r="AB18" s="32"/>
    </row>
    <row r="19" spans="2:28" x14ac:dyDescent="0.25">
      <c r="B19" s="182" t="s">
        <v>422</v>
      </c>
      <c r="C19" s="150"/>
      <c r="D19" s="154" cm="1">
        <f t="array" ref="D19">_xll.BDP($B19,D$10)*1</f>
        <v>47362</v>
      </c>
      <c r="E19" s="150" t="str" cm="1">
        <f t="array" ref="E19">_xll.BDP($B19,E$10)</f>
        <v>AT MATURITY</v>
      </c>
      <c r="F19" s="150" cm="1">
        <f t="array" ref="F19">_xll.BDP($B19,F$10)</f>
        <v>16788.902816000002</v>
      </c>
      <c r="G19" s="155" t="str" cm="1">
        <f t="array" ref="G19">IF(B19="","",_xll.BDP($B19,G$10))</f>
        <v>ANDI</v>
      </c>
      <c r="H19" s="170"/>
      <c r="I19" s="156" cm="1">
        <f t="array" ref="I19">_xll.BDP($B19,I$10)*1</f>
        <v>45831</v>
      </c>
      <c r="J19" s="271">
        <f>IF(K19="",_xll.BADDPERIODS(I19,"CDR=BZ","Per=wd","NumberOfPeriods=-2"),_xll.BADDPERIODS(K19,"CDR=BZ","Per=wd","NumberOfPeriods=-1"))</f>
        <v>45826</v>
      </c>
      <c r="K19" s="279"/>
      <c r="L19" s="158" t="str">
        <f t="shared" si="1"/>
        <v>20250623</v>
      </c>
      <c r="M19" s="159" t="str">
        <f>TEXT(YEAR(_xll.BADDPERIODS(J19,"CDR=BZ","Per=wd","NumberOfPeriods=2"))*10000+MONTH(_xll.BADDPERIODS(J19,"CDR=BZ","Per=wd","NumberOfPeriods=2"))*100+DAY(_xll.BADDPERIODS(J19,"CDR=BZ","Per=wd","NumberOfPeriods=2")),"00000000")</f>
        <v>20250623</v>
      </c>
      <c r="N19" s="161" cm="1">
        <f t="array" ref="N19">IF(OR(UPPER(G19)="ANDE",UPPER(H19)="ANDE"),_xll.BDP($B19,$N$10,$G$10,H19,$R$10,R19,$I$10,M19),_xll.BDP($B19,$N$10,$G$10,H19,$R$10,R19,$I$10,L19))</f>
        <v>0.1106</v>
      </c>
      <c r="O19" s="280"/>
      <c r="P19" s="162" cm="1">
        <f t="array" ref="P19">IF(R19="",IF(O19="",_xll.BDP($B19,P$10,$N$10,$N19,$G$10,$H19,$I$10,$L19),_xll.BDP($B19,P$10,$N$10,$O19,$I$10,$M19,$G$10,$H19)),"-")</f>
        <v>16711.522762000001</v>
      </c>
      <c r="Q19" s="163">
        <f t="shared" si="0"/>
        <v>16711.522762000001</v>
      </c>
      <c r="R19" s="281"/>
      <c r="S19" s="282" cm="1">
        <f t="array" ref="S19">_xll.BDP($B19,S$10,$N$10,$O19,$I$10,$L19,$G$10,$H19)</f>
        <v>16.788902816</v>
      </c>
      <c r="T19" s="165" cm="1">
        <f t="array" ref="T19">IF(R19&lt;&gt;"",_xll.BDP($B19,T$10,$I$10,$L19,$G$10,$H19,$R$10,$R19),_xll.BDP($B19,T$10,$N$10,$O19,$I$10,$L19,$G$10,$H19,$R$10,$R19))</f>
        <v>4.1739535456611812</v>
      </c>
      <c r="U19" s="165" cm="1">
        <f t="array" ref="U19">IF(R19&lt;&gt;"",_xll.BDP($B19,U$10,$I$10,$L19,$G$10,$H19,$R$10,$R19),_xll.BDP($B19,U$10,$N$10,$O19,$I$10,$L19,$G$10,$H19,$R$10,$R19))</f>
        <v>4.1739535456611812</v>
      </c>
      <c r="V19" s="165" cm="1">
        <f t="array" ref="V19">IF(R19&lt;&gt;"",_xll.BDP($B19,V$10,$I$10,$L19,$G$10,$H19,$R$10,$R19),_xll.BDP($B19,V$10,$N$10,$O19,$I$10,$L19,$G$10,$H19,$R$10,$R19))</f>
        <v>0.21591227419411591</v>
      </c>
      <c r="W19" s="165" cm="1">
        <f t="array" ref="W19">IF(R19&lt;&gt;"",_xll.BDP($B19,W$10,$I$10,$L19,$G$10,$H19,$R$10,$R19),_xll.BDP($B19,W$10,$N$10,$O19,$I$10,$L19,$G$10,$H19,$R$10,$R19))</f>
        <v>697.53049613591429</v>
      </c>
      <c r="X19" s="165" cm="1">
        <f t="array" ref="X19">IF($B19="","",_xll.BDH($B19,X$10,_xlfn.SINGLE(_xll.BTODAY())-1,_xlfn.SINGLE(_xll.BTODAY())-1,"pcs","TUNE"))</f>
        <v>0.1198</v>
      </c>
      <c r="Y19" s="283" cm="1">
        <f t="array" ref="Y19">IF($B19="","",_xll.BDH($B19,Y$10,_xlfn.SINGLE(_xll.BTODAY())-1,_xlfn.SINGLE(_xll.BTODAY())-1,"pcs","TUNE"))</f>
        <v>9.2399999999999996E-2</v>
      </c>
      <c r="AB19" s="32"/>
    </row>
    <row r="20" spans="2:28" x14ac:dyDescent="0.25">
      <c r="B20" s="182" t="s">
        <v>423</v>
      </c>
      <c r="C20" s="150"/>
      <c r="D20" s="154" cm="1">
        <f t="array" ref="D20">_xll.BDP($B20,D$10)*1</f>
        <v>47543</v>
      </c>
      <c r="E20" s="150" t="str" cm="1">
        <f t="array" ref="E20">_xll.BDP($B20,E$10)</f>
        <v>AT MATURITY</v>
      </c>
      <c r="F20" s="150" cm="1">
        <f t="array" ref="F20">_xll.BDP($B20,F$10)</f>
        <v>16788.902816000002</v>
      </c>
      <c r="G20" s="155" t="str" cm="1">
        <f t="array" ref="G20">IF(B20="","",_xll.BDP($B20,G$10))</f>
        <v>ANDI</v>
      </c>
      <c r="H20" s="170"/>
      <c r="I20" s="156" cm="1">
        <f t="array" ref="I20">_xll.BDP($B20,I$10)*1</f>
        <v>45831</v>
      </c>
      <c r="J20" s="271">
        <f>IF(K20="",_xll.BADDPERIODS(I20,"CDR=BZ","Per=wd","NumberOfPeriods=-2"),_xll.BADDPERIODS(K20,"CDR=BZ","Per=wd","NumberOfPeriods=-1"))</f>
        <v>45826</v>
      </c>
      <c r="K20" s="279"/>
      <c r="L20" s="158" t="str">
        <f t="shared" si="1"/>
        <v>20250623</v>
      </c>
      <c r="M20" s="159" t="str">
        <f>TEXT(YEAR(_xll.BADDPERIODS(J20,"CDR=BZ","Per=wd","NumberOfPeriods=2"))*10000+MONTH(_xll.BADDPERIODS(J20,"CDR=BZ","Per=wd","NumberOfPeriods=2"))*100+DAY(_xll.BADDPERIODS(J20,"CDR=BZ","Per=wd","NumberOfPeriods=2")),"00000000")</f>
        <v>20250623</v>
      </c>
      <c r="N20" s="161" cm="1">
        <f t="array" ref="N20">IF(OR(UPPER(G20)="ANDE",UPPER(H20)="ANDE"),_xll.BDP($B20,$N$10,$G$10,H20,$R$10,R20,$I$10,M20),_xll.BDP($B20,$N$10,$G$10,H20,$R$10,R20,$I$10,L20))</f>
        <v>0.1227</v>
      </c>
      <c r="O20" s="280"/>
      <c r="P20" s="162" cm="1">
        <f t="array" ref="P20">IF(R20="",IF(O20="",_xll.BDP($B20,P$10,$N$10,$N20,$G$10,$H20,$I$10,$L20),_xll.BDP($B20,P$10,$N$10,$O20,$I$10,$M20,$G$10,$H20)),"-")</f>
        <v>16693.172492000002</v>
      </c>
      <c r="Q20" s="163">
        <f t="shared" si="0"/>
        <v>16693.172492000002</v>
      </c>
      <c r="R20" s="281"/>
      <c r="S20" s="282" cm="1">
        <f t="array" ref="S20">_xll.BDP($B20,S$10,$N$10,$O20,$I$10,$L20,$G$10,$H20)</f>
        <v>16.788902816</v>
      </c>
      <c r="T20" s="165" cm="1">
        <f t="array" ref="T20">IF(R20&lt;&gt;"",_xll.BDP($B20,T$10,$I$10,$L20,$G$10,$H20,$R$10,$R20),_xll.BDP($B20,T$10,$N$10,$O20,$I$10,$L20,$G$10,$H20,$R$10,$R20))</f>
        <v>4.6569828868830463</v>
      </c>
      <c r="U20" s="165" cm="1">
        <f t="array" ref="U20">IF(R20&lt;&gt;"",_xll.BDP($B20,U$10,$I$10,$L20,$G$10,$H20,$R$10,$R20),_xll.BDP($B20,U$10,$N$10,$O20,$I$10,$L20,$G$10,$H20,$R$10,$R20))</f>
        <v>4.6569828868830463</v>
      </c>
      <c r="V20" s="165" cm="1">
        <f t="array" ref="V20">IF(R20&lt;&gt;"",_xll.BDP($B20,V$10,$I$10,$L20,$G$10,$H20,$R$10,$R20),_xll.BDP($B20,V$10,$N$10,$O20,$I$10,$L20,$G$10,$H20,$R$10,$R20))</f>
        <v>0.26338761774167041</v>
      </c>
      <c r="W20" s="165" cm="1">
        <f t="array" ref="W20">IF(R20&lt;&gt;"",_xll.BDP($B20,W$10,$I$10,$L20,$G$10,$H20,$R$10,$R20),_xll.BDP($B20,W$10,$N$10,$O20,$I$10,$L20,$G$10,$H20,$R$10,$R20))</f>
        <v>777.39740438064473</v>
      </c>
      <c r="X20" s="165" cm="1">
        <f t="array" ref="X20">IF($B20="","",_xll.BDH($B20,X$10,_xlfn.SINGLE(_xll.BTODAY())-1,_xlfn.SINGLE(_xll.BTODAY())-1,"pcs","TUNE"))</f>
        <v>0.1328</v>
      </c>
      <c r="Y20" s="283" cm="1">
        <f t="array" ref="Y20">IF($B20="","",_xll.BDH($B20,Y$10,_xlfn.SINGLE(_xll.BTODAY())-1,_xlfn.SINGLE(_xll.BTODAY())-1,"pcs","TUNE"))</f>
        <v>9.0700000000000003E-2</v>
      </c>
      <c r="AB20" s="32"/>
    </row>
    <row r="21" spans="2:28" x14ac:dyDescent="0.25">
      <c r="B21" s="182" t="s">
        <v>424</v>
      </c>
      <c r="C21" s="150"/>
      <c r="D21" s="154" cm="1">
        <f t="array" ref="D21">_xll.BDP($B21,D$10)*1</f>
        <v>47635</v>
      </c>
      <c r="E21" s="150" t="str" cm="1">
        <f t="array" ref="E21">_xll.BDP($B21,E$10)</f>
        <v>AT MATURITY</v>
      </c>
      <c r="F21" s="150" cm="1">
        <f t="array" ref="F21">_xll.BDP($B21,F$10)</f>
        <v>16788.902816000002</v>
      </c>
      <c r="G21" s="155" t="str" cm="1">
        <f t="array" ref="G21">IF(B21="","",_xll.BDP($B21,G$10))</f>
        <v>ANDI</v>
      </c>
      <c r="H21" s="170"/>
      <c r="I21" s="156" cm="1">
        <f t="array" ref="I21">_xll.BDP($B21,I$10)*1</f>
        <v>45831</v>
      </c>
      <c r="J21" s="271">
        <f>IF(K21="",_xll.BADDPERIODS(I21,"CDR=BZ","Per=wd","NumberOfPeriods=-2"),_xll.BADDPERIODS(K21,"CDR=BZ","Per=wd","NumberOfPeriods=-1"))</f>
        <v>45826</v>
      </c>
      <c r="K21" s="279"/>
      <c r="L21" s="158" t="str">
        <f t="shared" si="1"/>
        <v>20250623</v>
      </c>
      <c r="M21" s="159" t="str">
        <f>TEXT(YEAR(_xll.BADDPERIODS(J21,"CDR=BZ","Per=wd","NumberOfPeriods=2"))*10000+MONTH(_xll.BADDPERIODS(J21,"CDR=BZ","Per=wd","NumberOfPeriods=2"))*100+DAY(_xll.BADDPERIODS(J21,"CDR=BZ","Per=wd","NumberOfPeriods=2")),"00000000")</f>
        <v>20250623</v>
      </c>
      <c r="N21" s="161" cm="1">
        <f t="array" ref="N21">IF(OR(UPPER(G21)="ANDE",UPPER(H21)="ANDE"),_xll.BDP($B21,$N$10,$G$10,H21,$R$10,R21,$I$10,M21),_xll.BDP($B21,$N$10,$G$10,H21,$R$10,R21,$I$10,L21))</f>
        <v>0.1222</v>
      </c>
      <c r="O21" s="280"/>
      <c r="P21" s="162" cm="1">
        <f t="array" ref="P21">IF(R21="",IF(O21="",_xll.BDP($B21,P$10,$N$10,$N21,$G$10,$H21,$I$10,$L21),_xll.BDP($B21,P$10,$N$10,$O21,$I$10,$M21,$G$10,$H21)),"-")</f>
        <v>16688.555542999999</v>
      </c>
      <c r="Q21" s="163">
        <f t="shared" si="0"/>
        <v>16688.555542999999</v>
      </c>
      <c r="R21" s="281"/>
      <c r="S21" s="282" cm="1">
        <f t="array" ref="S21">_xll.BDP($B21,S$10,$N$10,$O21,$I$10,$L21,$G$10,$H21)</f>
        <v>16.788902816</v>
      </c>
      <c r="T21" s="165" cm="1">
        <f t="array" ref="T21">IF(R21&lt;&gt;"",_xll.BDP($B21,T$10,$I$10,$L21,$G$10,$H21,$R$10,$R21),_xll.BDP($B21,T$10,$N$10,$O21,$I$10,$L21,$G$10,$H21,$R$10,$R21))</f>
        <v>4.902738212192248</v>
      </c>
      <c r="U21" s="165" cm="1">
        <f t="array" ref="U21">IF(R21&lt;&gt;"",_xll.BDP($B21,U$10,$I$10,$L21,$G$10,$H21,$R$10,$R21),_xll.BDP($B21,U$10,$N$10,$O21,$I$10,$L21,$G$10,$H21,$R$10,$R21))</f>
        <v>4.902738212192248</v>
      </c>
      <c r="V21" s="165" cm="1">
        <f t="array" ref="V21">IF(R21&lt;&gt;"",_xll.BDP($B21,V$10,$I$10,$L21,$G$10,$H21,$R$10,$R21),_xll.BDP($B21,V$10,$N$10,$O21,$I$10,$L21,$G$10,$H21,$R$10,$R21))</f>
        <v>0.28933592967423361</v>
      </c>
      <c r="W21" s="165" cm="1">
        <f t="array" ref="W21">IF(R21&lt;&gt;"",_xll.BDP($B21,W$10,$I$10,$L21,$G$10,$H21,$R$10,$R21),_xll.BDP($B21,W$10,$N$10,$O21,$I$10,$L21,$G$10,$H21,$R$10,$R21))</f>
        <v>818.19536659622827</v>
      </c>
      <c r="X21" s="165" cm="1">
        <f t="array" ref="X21">IF($B21="","",_xll.BDH($B21,X$10,_xlfn.SINGLE(_xll.BTODAY())-1,_xlfn.SINGLE(_xll.BTODAY())-1,"pcs","TUNE"))</f>
        <v>0.13289999999999999</v>
      </c>
      <c r="Y21" s="283" cm="1">
        <f t="array" ref="Y21">IF($B21="","",_xll.BDH($B21,Y$10,_xlfn.SINGLE(_xll.BTODAY())-1,_xlfn.SINGLE(_xll.BTODAY())-1,"pcs","TUNE"))</f>
        <v>9.35E-2</v>
      </c>
      <c r="AB21" s="32"/>
    </row>
    <row r="22" spans="2:28" x14ac:dyDescent="0.25">
      <c r="B22" s="182" t="s">
        <v>425</v>
      </c>
      <c r="C22" s="150"/>
      <c r="D22" s="154" cm="1">
        <f t="array" ref="D22">_xll.BDP($B22,D$10)*1</f>
        <v>47727</v>
      </c>
      <c r="E22" s="150" t="str" cm="1">
        <f t="array" ref="E22">_xll.BDP($B22,E$10)</f>
        <v>AT MATURITY</v>
      </c>
      <c r="F22" s="150" cm="1">
        <f t="array" ref="F22">_xll.BDP($B22,F$10)</f>
        <v>16788.902816000002</v>
      </c>
      <c r="G22" s="155" t="str" cm="1">
        <f t="array" ref="G22">IF(B22="","",_xll.BDP($B22,G$10))</f>
        <v>ANDI</v>
      </c>
      <c r="H22" s="170"/>
      <c r="I22" s="156" cm="1">
        <f t="array" ref="I22">_xll.BDP($B22,I$10)*1</f>
        <v>45831</v>
      </c>
      <c r="J22" s="271">
        <f>IF(K22="",_xll.BADDPERIODS(I22,"CDR=BZ","Per=wd","NumberOfPeriods=-2"),_xll.BADDPERIODS(K22,"CDR=BZ","Per=wd","NumberOfPeriods=-1"))</f>
        <v>45826</v>
      </c>
      <c r="K22" s="279"/>
      <c r="L22" s="158" t="str">
        <f t="shared" si="1"/>
        <v>20250623</v>
      </c>
      <c r="M22" s="159" t="str">
        <f>TEXT(YEAR(_xll.BADDPERIODS(J22,"CDR=BZ","Per=wd","NumberOfPeriods=2"))*10000+MONTH(_xll.BADDPERIODS(J22,"CDR=BZ","Per=wd","NumberOfPeriods=2"))*100+DAY(_xll.BADDPERIODS(J22,"CDR=BZ","Per=wd","NumberOfPeriods=2")),"00000000")</f>
        <v>20250623</v>
      </c>
      <c r="N22" s="161" cm="1">
        <f t="array" ref="N22">IF(OR(UPPER(G22)="ANDE",UPPER(H22)="ANDE"),_xll.BDP($B22,$N$10,$G$10,H22,$R$10,R22,$I$10,M22),_xll.BDP($B22,$N$10,$G$10,H22,$R$10,R22,$I$10,L22))</f>
        <v>0.1176</v>
      </c>
      <c r="O22" s="280"/>
      <c r="P22" s="162" cm="1">
        <f t="array" ref="P22">IF(R22="",IF(O22="",_xll.BDP($B22,P$10,$N$10,$N22,$G$10,$H22,$I$10,$L22),_xll.BDP($B22,P$10,$N$10,$O22,$I$10,$M22,$G$10,$H22)),"-")</f>
        <v>16687.329953</v>
      </c>
      <c r="Q22" s="163">
        <f t="shared" si="0"/>
        <v>16687.329953</v>
      </c>
      <c r="R22" s="281"/>
      <c r="S22" s="282" cm="1">
        <f t="array" ref="S22">_xll.BDP($B22,S$10,$N$10,$O22,$I$10,$L22,$G$10,$H22)</f>
        <v>16.788902816</v>
      </c>
      <c r="T22" s="165" cm="1">
        <f t="array" ref="T22">IF(R22&lt;&gt;"",_xll.BDP($B22,T$10,$I$10,$L22,$G$10,$H22,$R$10,$R22),_xll.BDP($B22,T$10,$N$10,$O22,$I$10,$L22,$G$10,$H22,$R$10,$R22))</f>
        <v>5.1566329759388845</v>
      </c>
      <c r="U22" s="165" cm="1">
        <f t="array" ref="U22">IF(R22&lt;&gt;"",_xll.BDP($B22,U$10,$I$10,$L22,$G$10,$H22,$R$10,$R22),_xll.BDP($B22,U$10,$N$10,$O22,$I$10,$L22,$G$10,$H22,$R$10,$R22))</f>
        <v>5.1566329759388845</v>
      </c>
      <c r="V22" s="165" cm="1">
        <f t="array" ref="V22">IF(R22&lt;&gt;"",_xll.BDP($B22,V$10,$I$10,$L22,$G$10,$H22,$R$10,$R22),_xll.BDP($B22,V$10,$N$10,$O22,$I$10,$L22,$G$10,$H22,$R$10,$R22))</f>
        <v>0.31741435211057911</v>
      </c>
      <c r="W22" s="165" cm="1">
        <f t="array" ref="W22">IF(R22&lt;&gt;"",_xll.BDP($B22,W$10,$I$10,$L22,$G$10,$H22,$R$10,$R22),_xll.BDP($B22,W$10,$N$10,$O22,$I$10,$L22,$G$10,$H22,$R$10,$R22))</f>
        <v>860.50349346769508</v>
      </c>
      <c r="X22" s="165" cm="1">
        <f t="array" ref="X22">IF($B22="","",_xll.BDH($B22,X$10,_xlfn.SINGLE(_xll.BTODAY())-1,_xlfn.SINGLE(_xll.BTODAY())-1,"pcs","TUNE"))</f>
        <v>0.13</v>
      </c>
      <c r="Y22" s="283" cm="1">
        <f t="array" ref="Y22">IF($B22="","",_xll.BDH($B22,Y$10,_xlfn.SINGLE(_xll.BTODAY())-1,_xlfn.SINGLE(_xll.BTODAY())-1,"pcs","TUNE"))</f>
        <v>9.7199999999999995E-2</v>
      </c>
      <c r="AB22" s="32"/>
    </row>
    <row r="23" spans="2:28" x14ac:dyDescent="0.25">
      <c r="B23" s="182" t="s">
        <v>426</v>
      </c>
      <c r="C23" s="150"/>
      <c r="D23" s="154" cm="1">
        <f t="array" ref="D23">_xll.BDP($B23,D$10)*1</f>
        <v>47818</v>
      </c>
      <c r="E23" s="150" t="str" cm="1">
        <f t="array" ref="E23">_xll.BDP($B23,E$10)</f>
        <v>AT MATURITY</v>
      </c>
      <c r="F23" s="150" cm="1">
        <f t="array" ref="F23">_xll.BDP($B23,F$10)</f>
        <v>16788.902816000002</v>
      </c>
      <c r="G23" s="155" t="str" cm="1">
        <f t="array" ref="G23">IF(B23="","",_xll.BDP($B23,G$10))</f>
        <v>ANDI</v>
      </c>
      <c r="H23" s="170"/>
      <c r="I23" s="156" cm="1">
        <f t="array" ref="I23">_xll.BDP($B23,I$10)*1</f>
        <v>45831</v>
      </c>
      <c r="J23" s="271">
        <f>IF(K23="",_xll.BADDPERIODS(I23,"CDR=BZ","Per=wd","NumberOfPeriods=-2"),_xll.BADDPERIODS(K23,"CDR=BZ","Per=wd","NumberOfPeriods=-1"))</f>
        <v>45826</v>
      </c>
      <c r="K23" s="279"/>
      <c r="L23" s="158" t="str">
        <f t="shared" si="1"/>
        <v>20250623</v>
      </c>
      <c r="M23" s="159" t="str">
        <f>TEXT(YEAR(_xll.BADDPERIODS(J23,"CDR=BZ","Per=wd","NumberOfPeriods=2"))*10000+MONTH(_xll.BADDPERIODS(J23,"CDR=BZ","Per=wd","NumberOfPeriods=2"))*100+DAY(_xll.BADDPERIODS(J23,"CDR=BZ","Per=wd","NumberOfPeriods=2")),"00000000")</f>
        <v>20250623</v>
      </c>
      <c r="N23" s="161" cm="1">
        <f t="array" ref="N23">IF(OR(UPPER(G23)="ANDE",UPPER(H23)="ANDE"),_xll.BDP($B23,$N$10,$G$10,H23,$R$10,R23,$I$10,M23),_xll.BDP($B23,$N$10,$G$10,H23,$R$10,R23,$I$10,L23))</f>
        <v>0.1067</v>
      </c>
      <c r="O23" s="280"/>
      <c r="P23" s="162" cm="1">
        <f t="array" ref="P23">IF(R23="",IF(O23="",_xll.BDP($B23,P$10,$N$10,$N23,$G$10,$H23,$I$10,$L23),_xll.BDP($B23,P$10,$N$10,$O23,$I$10,$M23,$G$10,$H23)),"-")</f>
        <v>16692.265890999999</v>
      </c>
      <c r="Q23" s="163">
        <f t="shared" si="0"/>
        <v>16692.265890999999</v>
      </c>
      <c r="R23" s="281"/>
      <c r="S23" s="282" cm="1">
        <f t="array" ref="S23">_xll.BDP($B23,S$10,$N$10,$O23,$I$10,$L23,$G$10,$H23)</f>
        <v>16.788902816</v>
      </c>
      <c r="T23" s="165" cm="1">
        <f t="array" ref="T23">IF(R23&lt;&gt;"",_xll.BDP($B23,T$10,$I$10,$L23,$G$10,$H23,$R$10,$R23),_xll.BDP($B23,T$10,$N$10,$O23,$I$10,$L23,$G$10,$H23,$R$10,$R23))</f>
        <v>5.4069282829757244</v>
      </c>
      <c r="U23" s="165" cm="1">
        <f t="array" ref="U23">IF(R23&lt;&gt;"",_xll.BDP($B23,U$10,$I$10,$L23,$G$10,$H23,$R$10,$R23),_xll.BDP($B23,U$10,$N$10,$O23,$I$10,$L23,$G$10,$H23,$R$10,$R23))</f>
        <v>5.4069282829757244</v>
      </c>
      <c r="V23" s="165" cm="1">
        <f t="array" ref="V23">IF(R23&lt;&gt;"",_xll.BDP($B23,V$10,$I$10,$L23,$G$10,$H23,$R$10,$R23),_xll.BDP($B23,V$10,$N$10,$O23,$I$10,$L23,$G$10,$H23,$R$10,$R23))</f>
        <v>0.34636034033851792</v>
      </c>
      <c r="W23" s="165" cm="1">
        <f t="array" ref="W23">IF(R23&lt;&gt;"",_xll.BDP($B23,W$10,$I$10,$L23,$G$10,$H23,$R$10,$R23),_xll.BDP($B23,W$10,$N$10,$O23,$I$10,$L23,$G$10,$H23,$R$10,$R23))</f>
        <v>902.53793778720137</v>
      </c>
      <c r="X23" s="165" cm="1">
        <f t="array" ref="X23">IF($B23="","",_xll.BDH($B23,X$10,_xlfn.SINGLE(_xll.BTODAY())-1,_xlfn.SINGLE(_xll.BTODAY())-1,"pcs","TUNE"))</f>
        <v>0.1288</v>
      </c>
      <c r="Y23" s="283" cm="1">
        <f t="array" ref="Y23">IF($B23="","",_xll.BDH($B23,Y$10,_xlfn.SINGLE(_xll.BTODAY())-1,_xlfn.SINGLE(_xll.BTODAY())-1,"pcs","TUNE"))</f>
        <v>9.6699999999999994E-2</v>
      </c>
      <c r="AB23" s="32"/>
    </row>
    <row r="24" spans="2:28" x14ac:dyDescent="0.25">
      <c r="B24" s="182" t="s">
        <v>427</v>
      </c>
      <c r="C24" s="150"/>
      <c r="D24" s="154" cm="1">
        <f t="array" ref="D24">_xll.BDP($B24,D$10)*1</f>
        <v>47908</v>
      </c>
      <c r="E24" s="150" t="str" cm="1">
        <f t="array" ref="E24">_xll.BDP($B24,E$10)</f>
        <v>AT MATURITY</v>
      </c>
      <c r="F24" s="150" cm="1">
        <f t="array" ref="F24">_xll.BDP($B24,F$10)</f>
        <v>16788.902816000002</v>
      </c>
      <c r="G24" s="155" t="str" cm="1">
        <f t="array" ref="G24">IF(B24="","",_xll.BDP($B24,G$10))</f>
        <v>ANDI</v>
      </c>
      <c r="H24" s="170"/>
      <c r="I24" s="156" cm="1">
        <f t="array" ref="I24">_xll.BDP($B24,I$10)*1</f>
        <v>45831</v>
      </c>
      <c r="J24" s="271">
        <f>IF(K24="",_xll.BADDPERIODS(I24,"CDR=BZ","Per=wd","NumberOfPeriods=-2"),_xll.BADDPERIODS(K24,"CDR=BZ","Per=wd","NumberOfPeriods=-1"))</f>
        <v>45826</v>
      </c>
      <c r="K24" s="279"/>
      <c r="L24" s="158" t="str">
        <f t="shared" si="1"/>
        <v>20250623</v>
      </c>
      <c r="M24" s="159" t="str">
        <f>TEXT(YEAR(_xll.BADDPERIODS(J24,"CDR=BZ","Per=wd","NumberOfPeriods=2"))*10000+MONTH(_xll.BADDPERIODS(J24,"CDR=BZ","Per=wd","NumberOfPeriods=2"))*100+DAY(_xll.BADDPERIODS(J24,"CDR=BZ","Per=wd","NumberOfPeriods=2")),"00000000")</f>
        <v>20250623</v>
      </c>
      <c r="N24" s="161" cm="1">
        <f t="array" ref="N24">IF(OR(UPPER(G24)="ANDE",UPPER(H24)="ANDE"),_xll.BDP($B24,$N$10,$G$10,H24,$R$10,R24,$I$10,M24),_xll.BDP($B24,$N$10,$G$10,H24,$R$10,R24,$I$10,L24))</f>
        <v>0.10349999999999999</v>
      </c>
      <c r="O24" s="280"/>
      <c r="P24" s="162" cm="1">
        <f t="array" ref="P24">IF(R24="",IF(O24="",_xll.BDP($B24,P$10,$N$10,$N24,$G$10,$H24,$I$10,$L24),_xll.BDP($B24,P$10,$N$10,$O24,$I$10,$M24,$G$10,$H24)),"-")</f>
        <v>16690.973145</v>
      </c>
      <c r="Q24" s="163">
        <f t="shared" si="0"/>
        <v>16690.973145</v>
      </c>
      <c r="R24" s="281"/>
      <c r="S24" s="282" cm="1">
        <f t="array" ref="S24">_xll.BDP($B24,S$10,$N$10,$O24,$I$10,$L24,$G$10,$H24)</f>
        <v>16.788902816</v>
      </c>
      <c r="T24" s="165" cm="1">
        <f t="array" ref="T24">IF(R24&lt;&gt;"",_xll.BDP($B24,T$10,$I$10,$L24,$G$10,$H24,$R$10,$R24),_xll.BDP($B24,T$10,$N$10,$O24,$I$10,$L24,$G$10,$H24,$R$10,$R24))</f>
        <v>5.6489143251799527</v>
      </c>
      <c r="U24" s="165" cm="1">
        <f t="array" ref="U24">IF(R24&lt;&gt;"",_xll.BDP($B24,U$10,$I$10,$L24,$G$10,$H24,$R$10,$R24),_xll.BDP($B24,U$10,$N$10,$O24,$I$10,$L24,$G$10,$H24,$R$10,$R24))</f>
        <v>5.6489143251799527</v>
      </c>
      <c r="V24" s="165" cm="1">
        <f t="array" ref="V24">IF(R24&lt;&gt;"",_xll.BDP($B24,V$10,$I$10,$L24,$G$10,$H24,$R$10,$R24),_xll.BDP($B24,V$10,$N$10,$O24,$I$10,$L24,$G$10,$H24,$R$10,$R24))</f>
        <v>0.37553301495958841</v>
      </c>
      <c r="W24" s="165" cm="1">
        <f t="array" ref="W24">IF(R24&lt;&gt;"",_xll.BDP($B24,W$10,$I$10,$L24,$G$10,$H24,$R$10,$R24),_xll.BDP($B24,W$10,$N$10,$O24,$I$10,$L24,$G$10,$H24,$R$10,$R24))</f>
        <v>942.85782465849479</v>
      </c>
      <c r="X24" s="165" cm="1">
        <f t="array" ref="X24">IF($B24="","",_xll.BDH($B24,X$10,_xlfn.SINGLE(_xll.BTODAY())-1,_xlfn.SINGLE(_xll.BTODAY())-1,"pcs","TUNE"))</f>
        <v>0.12709999999999999</v>
      </c>
      <c r="Y24" s="283" cm="1">
        <f t="array" ref="Y24">IF($B24="","",_xll.BDH($B24,Y$10,_xlfn.SINGLE(_xll.BTODAY())-1,_xlfn.SINGLE(_xll.BTODAY())-1,"pcs","TUNE"))</f>
        <v>9.4399999999999998E-2</v>
      </c>
      <c r="AB24" s="32"/>
    </row>
    <row r="25" spans="2:28" x14ac:dyDescent="0.25">
      <c r="B25" s="182" t="s">
        <v>428</v>
      </c>
      <c r="C25" s="150"/>
      <c r="D25" s="154" cm="1">
        <f t="array" ref="D25">_xll.BDP($B25,D$10)*1</f>
        <v>48000</v>
      </c>
      <c r="E25" s="150" t="str" cm="1">
        <f t="array" ref="E25">_xll.BDP($B25,E$10)</f>
        <v>AT MATURITY</v>
      </c>
      <c r="F25" s="150" cm="1">
        <f t="array" ref="F25">_xll.BDP($B25,F$10)</f>
        <v>16788.902816000002</v>
      </c>
      <c r="G25" s="155" t="str" cm="1">
        <f t="array" ref="G25">IF(B25="","",_xll.BDP($B25,G$10))</f>
        <v>ANDI</v>
      </c>
      <c r="H25" s="170"/>
      <c r="I25" s="156" cm="1">
        <f t="array" ref="I25">_xll.BDP($B25,I$10)*1</f>
        <v>45831</v>
      </c>
      <c r="J25" s="271">
        <f>IF(K25="",_xll.BADDPERIODS(I25,"CDR=BZ","Per=wd","NumberOfPeriods=-2"),_xll.BADDPERIODS(K25,"CDR=BZ","Per=wd","NumberOfPeriods=-1"))</f>
        <v>45826</v>
      </c>
      <c r="K25" s="279"/>
      <c r="L25" s="158" t="str">
        <f t="shared" si="1"/>
        <v>20250623</v>
      </c>
      <c r="M25" s="159" t="str">
        <f>TEXT(YEAR(_xll.BADDPERIODS(J25,"CDR=BZ","Per=wd","NumberOfPeriods=2"))*10000+MONTH(_xll.BADDPERIODS(J25,"CDR=BZ","Per=wd","NumberOfPeriods=2"))*100+DAY(_xll.BADDPERIODS(J25,"CDR=BZ","Per=wd","NumberOfPeriods=2")),"00000000")</f>
        <v>20250623</v>
      </c>
      <c r="N25" s="161" cm="1">
        <f t="array" ref="N25">IF(OR(UPPER(G25)="ANDE",UPPER(H25)="ANDE"),_xll.BDP($B25,$N$10,$G$10,H25,$R$10,R25,$I$10,M25),_xll.BDP($B25,$N$10,$G$10,H25,$R$10,R25,$I$10,L25))</f>
        <v>0.1018</v>
      </c>
      <c r="O25" s="280"/>
      <c r="P25" s="162" cm="1">
        <f t="array" ref="P25">IF(R25="",IF(O25="",_xll.BDP($B25,P$10,$N$10,$N25,$G$10,$H25,$I$10,$L25),_xll.BDP($B25,P$10,$N$10,$O25,$I$10,$M25,$G$10,$H25)),"-")</f>
        <v>16688.404442999999</v>
      </c>
      <c r="Q25" s="163">
        <f t="shared" si="0"/>
        <v>16688.404442999999</v>
      </c>
      <c r="R25" s="281"/>
      <c r="S25" s="282" cm="1">
        <f t="array" ref="S25">_xll.BDP($B25,S$10,$N$10,$O25,$I$10,$L25,$G$10,$H25)</f>
        <v>16.788902816</v>
      </c>
      <c r="T25" s="165" cm="1">
        <f t="array" ref="T25">IF(R25&lt;&gt;"",_xll.BDP($B25,T$10,$I$10,$L25,$G$10,$H25,$R$10,$R25),_xll.BDP($B25,T$10,$N$10,$O25,$I$10,$L25,$G$10,$H25,$R$10,$R25))</f>
        <v>5.8947922459017912</v>
      </c>
      <c r="U25" s="165" cm="1">
        <f t="array" ref="U25">IF(R25&lt;&gt;"",_xll.BDP($B25,U$10,$I$10,$L25,$G$10,$H25,$R$10,$R25),_xll.BDP($B25,U$10,$N$10,$O25,$I$10,$L25,$G$10,$H25,$R$10,$R25))</f>
        <v>5.8947922459017912</v>
      </c>
      <c r="V25" s="165" cm="1">
        <f t="array" ref="V25">IF(R25&lt;&gt;"",_xll.BDP($B25,V$10,$I$10,$L25,$G$10,$H25,$R$10,$R25),_xll.BDP($B25,V$10,$N$10,$O25,$I$10,$L25,$G$10,$H25,$R$10,$R25))</f>
        <v>0.40637367549803849</v>
      </c>
      <c r="W25" s="165" cm="1">
        <f t="array" ref="W25">IF(R25&lt;&gt;"",_xll.BDP($B25,W$10,$I$10,$L25,$G$10,$H25,$R$10,$R25),_xll.BDP($B25,W$10,$N$10,$O25,$I$10,$L25,$G$10,$H25,$R$10,$R25))</f>
        <v>983.74578144357656</v>
      </c>
      <c r="X25" s="165" cm="1">
        <f t="array" ref="X25">IF($B25="","",_xll.BDH($B25,X$10,_xlfn.SINGLE(_xll.BTODAY())-1,_xlfn.SINGLE(_xll.BTODAY())-1,"pcs","TUNE"))</f>
        <v>0.125</v>
      </c>
      <c r="Y25" s="283" cm="1">
        <f t="array" ref="Y25">IF($B25="","",_xll.BDH($B25,Y$10,_xlfn.SINGLE(_xll.BTODAY())-1,_xlfn.SINGLE(_xll.BTODAY())-1,"pcs","TUNE"))</f>
        <v>9.0999999999999998E-2</v>
      </c>
      <c r="AB25" s="32"/>
    </row>
    <row r="26" spans="2:28" x14ac:dyDescent="0.25">
      <c r="B26" s="182" t="s">
        <v>429</v>
      </c>
      <c r="C26" s="150"/>
      <c r="D26" s="154" cm="1">
        <f t="array" ref="D26">_xll.BDP($B26,D$10)*1</f>
        <v>48092</v>
      </c>
      <c r="E26" s="150" t="str" cm="1">
        <f t="array" ref="E26">_xll.BDP($B26,E$10)</f>
        <v>AT MATURITY</v>
      </c>
      <c r="F26" s="150" cm="1">
        <f t="array" ref="F26">_xll.BDP($B26,F$10)</f>
        <v>16853.801305000001</v>
      </c>
      <c r="G26" s="155" t="str" cm="1">
        <f t="array" ref="G26">IF(B26="","",_xll.BDP($B26,G$10))</f>
        <v>BGN</v>
      </c>
      <c r="H26" s="170"/>
      <c r="I26" s="156" cm="1">
        <f t="array" ref="I26">_xll.BDP($B26,I$10)*1</f>
        <v>45840</v>
      </c>
      <c r="J26" s="271" cm="1">
        <f t="array" ref="J26">IF(K26="",_xll.BADDPERIODS(I26,"CDR=BZ","Per=wd","NumberOfPeriods=-2"),_xll.BADDPERIODS(K26,"CDR=BZ","Per=wd","NumberOfPeriods=-1"))</f>
        <v>45838</v>
      </c>
      <c r="K26" s="279"/>
      <c r="L26" s="158" t="str">
        <f t="shared" si="1"/>
        <v>20250702</v>
      </c>
      <c r="M26" s="159" t="str">
        <f>TEXT(YEAR(_xll.BADDPERIODS(J26,"CDR=BZ","Per=wd","NumberOfPeriods=2"))*10000+MONTH(_xll.BADDPERIODS(J26,"CDR=BZ","Per=wd","NumberOfPeriods=2"))*100+DAY(_xll.BADDPERIODS(J26,"CDR=BZ","Per=wd","NumberOfPeriods=2")),"00000000")</f>
        <v>20250702</v>
      </c>
      <c r="N26" s="161" t="str" cm="1">
        <f t="array" ref="N26">IF(OR(UPPER(G26)="ANDE",UPPER(H26)="ANDE"),_xll.BDP($B26,$N$10,$G$10,H26,$R$10,R26,$I$10,M26),_xll.BDP($B26,$N$10,$G$10,H26,$R$10,R26,$I$10,L26))</f>
        <v>#N/A N/A</v>
      </c>
      <c r="O26" s="280"/>
      <c r="P26" s="162" t="str" cm="1">
        <f t="array" ref="P26">IF(R26="",IF(O26="",_xll.BDP($B26,P$10,$N$10,$N26,$G$10,$H26,$I$10,$L26),_xll.BDP($B26,P$10,$N$10,$O26,$I$10,$M26,$G$10,$H26)),"-")</f>
        <v>#N/A N/A</v>
      </c>
      <c r="Q26" s="163" t="str">
        <f t="shared" si="0"/>
        <v>#N/A N/A</v>
      </c>
      <c r="R26" s="281"/>
      <c r="S26" s="282" cm="1">
        <f t="array" ref="S26">_xll.BDP($B26,S$10,$N$10,$O26,$I$10,$L26,$G$10,$H26)</f>
        <v>16.853801305000001</v>
      </c>
      <c r="T26" s="165" t="str" cm="1">
        <f t="array" ref="T26">IF(R26&lt;&gt;"",_xll.BDP($B26,T$10,$I$10,$L26,$G$10,$H26,$R$10,$R26),_xll.BDP($B26,T$10,$N$10,$O26,$I$10,$L26,$G$10,$H26,$R$10,$R26))</f>
        <v>#N/A N/A</v>
      </c>
      <c r="U26" s="165" t="str" cm="1">
        <f t="array" ref="U26">IF(R26&lt;&gt;"",_xll.BDP($B26,U$10,$I$10,$L26,$G$10,$H26,$R$10,$R26),_xll.BDP($B26,U$10,$N$10,$O26,$I$10,$L26,$G$10,$H26,$R$10,$R26))</f>
        <v>#N/A N/A</v>
      </c>
      <c r="V26" s="165" t="str" cm="1">
        <f t="array" ref="V26">IF(R26&lt;&gt;"",_xll.BDP($B26,V$10,$I$10,$L26,$G$10,$H26,$R$10,$R26),_xll.BDP($B26,V$10,$N$10,$O26,$I$10,$L26,$G$10,$H26,$R$10,$R26))</f>
        <v>#N/A N/A</v>
      </c>
      <c r="W26" s="165" t="str" cm="1">
        <f t="array" ref="W26">IF(R26&lt;&gt;"",_xll.BDP($B26,W$10,$I$10,$L26,$G$10,$H26,$R$10,$R26),_xll.BDP($B26,W$10,$N$10,$O26,$I$10,$L26,$G$10,$H26,$R$10,$R26))</f>
        <v>#N/A N/A</v>
      </c>
      <c r="X26" s="165" t="str" cm="1">
        <f t="array" ref="X26">IF($B26="","",_xll.BDH($B26,X$10,_xlfn.SINGLE(_xll.BTODAY())-1,_xlfn.SINGLE(_xll.BTODAY())-1,"pcs","TUNE"))</f>
        <v>#N/A N/A</v>
      </c>
      <c r="Y26" s="283" t="str" cm="1">
        <f t="array" ref="Y26">IF($B26="","",_xll.BDH($B26,Y$10,_xlfn.SINGLE(_xll.BTODAY())-1,_xlfn.SINGLE(_xll.BTODAY())-1,"pcs","TUNE"))</f>
        <v>#N/A N/A</v>
      </c>
      <c r="AB26" s="32"/>
    </row>
    <row r="27" spans="2:28" x14ac:dyDescent="0.25">
      <c r="B27" s="194"/>
      <c r="C27" s="195"/>
      <c r="D27" s="199" t="e" cm="1">
        <f t="array" ref="D27">_xll.BDP($B27,D$10)*1</f>
        <v>#VALUE!</v>
      </c>
      <c r="E27" s="195" t="str" cm="1">
        <f t="array" ref="E27">_xll.BDP($B27,E$10)</f>
        <v>#N/A Mandatory parameter [SECURITY] cannot be empty</v>
      </c>
      <c r="F27" s="195" t="str" cm="1">
        <f t="array" ref="F27">_xll.BDP($B27,F$10)</f>
        <v>#N/A Mandatory parameter [SECURITY] cannot be empty</v>
      </c>
      <c r="G27" s="219" t="str">
        <f>IF(B27="","",_xll.BDP($B27,G$10))</f>
        <v/>
      </c>
      <c r="H27" s="200"/>
      <c r="I27" s="220" t="e" cm="1">
        <f t="array" ref="I27">_xll.BDP($B27,I$10)*1</f>
        <v>#VALUE!</v>
      </c>
      <c r="J27" s="274" t="e">
        <f>IF(K27="",_xll.BADDPERIODS(I27,"CDR=BZ","Per=wd","NumberOfPeriods=-2"),_xll.BADDPERIODS(K27,"CDR=BZ","Per=wd","NumberOfPeriods=-1"))</f>
        <v>#VALUE!</v>
      </c>
      <c r="K27" s="284"/>
      <c r="L27" s="203" t="e">
        <f t="shared" si="1"/>
        <v>#VALUE!</v>
      </c>
      <c r="M27" s="204" t="e">
        <f>TEXT(YEAR(_xll.BADDPERIODS(J27,"CDR=BZ","Per=wd","NumberOfPeriods=2"))*10000+MONTH(_xll.BADDPERIODS(J27,"CDR=BZ","Per=wd","NumberOfPeriods=2"))*100+DAY(_xll.BADDPERIODS(J27,"CDR=BZ","Per=wd","NumberOfPeriods=2")),"00000000")</f>
        <v>#VALUE!</v>
      </c>
      <c r="N27" s="222" t="e">
        <f>IF(OR(UPPER(G27)="ANDE",UPPER(H27)="ANDE"),_xll.BDP($B27,$N$10,$G$10,H27,$R$10,R27,$I$10,M27),_xll.BDP($B27,$N$10,$G$10,H27,$R$10,R27,$I$10,L27))</f>
        <v>#VALUE!</v>
      </c>
      <c r="O27" s="285"/>
      <c r="P27" s="223" t="e">
        <f>IF(R27="",IF(O27="",_xll.BDP($B27,P$10,$N$10,$N27,$G$10,$H27,$I$10,$L27),_xll.BDP($B27,P$10,$N$10,$O27,$I$10,$M27,$G$10,$H27)),"-")</f>
        <v>#VALUE!</v>
      </c>
      <c r="Q27" s="208" t="e">
        <f t="shared" si="0"/>
        <v>#VALUE!</v>
      </c>
      <c r="R27" s="286"/>
      <c r="S27" s="287" t="e">
        <f>_xll.BDP($B27,S$10,$N$10,$O27,$I$10,$L27,$G$10,$H27)</f>
        <v>#VALUE!</v>
      </c>
      <c r="T27" s="225" t="e">
        <f>IF(R27&lt;&gt;"",_xll.BDP($B27,T$10,$I$10,$L27,$G$10,$H27,$R$10,$R27),_xll.BDP($B27,T$10,$N$10,$O27,$I$10,$L27,$G$10,$H27,$R$10,$R27))</f>
        <v>#VALUE!</v>
      </c>
      <c r="U27" s="225" t="e">
        <f>IF(R27&lt;&gt;"",_xll.BDP($B27,U$10,$I$10,$L27,$G$10,$H27,$R$10,$R27),_xll.BDP($B27,U$10,$N$10,$O27,$I$10,$L27,$G$10,$H27,$R$10,$R27))</f>
        <v>#VALUE!</v>
      </c>
      <c r="V27" s="225" t="e">
        <f>IF(R27&lt;&gt;"",_xll.BDP($B27,V$10,$I$10,$L27,$G$10,$H27,$R$10,$R27),_xll.BDP($B27,V$10,$N$10,$O27,$I$10,$L27,$G$10,$H27,$R$10,$R27))</f>
        <v>#VALUE!</v>
      </c>
      <c r="W27" s="225" t="e">
        <f>IF(R27&lt;&gt;"",_xll.BDP($B27,W$10,$I$10,$L27,$G$10,$H27,$R$10,$R27),_xll.BDP($B27,W$10,$N$10,$O27,$I$10,$L27,$G$10,$H27,$R$10,$R27))</f>
        <v>#VALUE!</v>
      </c>
      <c r="X27" s="225" t="str">
        <f>IF($B27="","",_xll.BDH($B27,X$10,_xll.BTODAY()-1,_xll.BTODAY()-1,"pcs","TUNE"))</f>
        <v/>
      </c>
      <c r="Y27" s="288" t="str">
        <f>IF($B27="","",_xll.BDH($B27,Y$10,_xll.BTODAY()-1,_xll.BTODAY()-1,"pcs","TUNE"))</f>
        <v/>
      </c>
      <c r="AB27" s="32"/>
    </row>
    <row r="28" spans="2:28" ht="12.75" hidden="1" customHeight="1" x14ac:dyDescent="0.25">
      <c r="B28" s="144"/>
      <c r="C28" s="179"/>
      <c r="D28" s="149" t="e" cm="1">
        <f t="array" ref="D28">_xll.BDP($B28,D$10)*1</f>
        <v>#VALUE!</v>
      </c>
      <c r="E28" s="149" t="str" cm="1">
        <f t="array" ref="E28">_xll.BDP($B28,E$10)</f>
        <v>#N/A Mandatory parameter [SECURITY] cannot be empty</v>
      </c>
      <c r="F28" s="149" t="str" cm="1">
        <f t="array" ref="F28">_xll.BDP($B28,F$10)</f>
        <v>#N/A Mandatory parameter [SECURITY] cannot be empty</v>
      </c>
      <c r="G28" s="149" t="str">
        <f>IF(B28="","",_xll.BDP($B28,G$10))</f>
        <v/>
      </c>
      <c r="H28" s="146"/>
      <c r="I28" s="146" t="e" cm="1">
        <f t="array" ref="I28">_xll.BDP($B28,I$10)*1</f>
        <v>#VALUE!</v>
      </c>
      <c r="J28" s="148" t="e">
        <f>IF(K28="",_xll.BADDPERIODS(I28,"CDR=BZ","Per=wd","NumberOfPeriods=-2"),_xll.BADDPERIODS(K28,"CDR=BZ","Per=wd","NumberOfPeriods=-1"))</f>
        <v>#VALUE!</v>
      </c>
      <c r="K28" s="146"/>
      <c r="L28" s="148" t="e">
        <f t="shared" si="1"/>
        <v>#VALUE!</v>
      </c>
      <c r="M28" s="148" t="e">
        <f>TEXT(YEAR(_xll.BADDPERIODS(J28,"CDR=BZ","Per=wd","NumberOfPeriods=2"))*10000+MONTH(_xll.BADDPERIODS(J28,"CDR=BZ","Per=wd","NumberOfPeriods=2"))*100+DAY(_xll.BADDPERIODS(J28,"CDR=BZ","Per=wd","NumberOfPeriods=2")),"00000000")</f>
        <v>#VALUE!</v>
      </c>
      <c r="N28" s="146" t="e">
        <f>IF(OR(UPPER(G28)="ANDE",UPPER(H28)="ANDE"),_xll.BDP($B28,$N$10,$G$10,H28,$R$10,R28,$I$10,M28),_xll.BDP($B28,$N$10,$G$10,H28,$R$10,R28,$I$10,L28))</f>
        <v>#VALUE!</v>
      </c>
      <c r="O28" s="146"/>
      <c r="P28" s="146" t="e">
        <f>IF(R28="",IF(O28="",_xll.BDP($B28,P$10,$N$10,$N28,$G$10,$H28,$I$10,$L28),_xll.BDP($B28,P$10,$N$10,$O28,$I$10,$M28,$G$10,$H28)),"-")</f>
        <v>#VALUE!</v>
      </c>
      <c r="Q28" s="149" t="e">
        <f t="shared" si="0"/>
        <v>#VALUE!</v>
      </c>
      <c r="R28" s="146"/>
      <c r="S28" s="146" t="e">
        <f>_xll.BDP($B28,S$10,$N$10,$O28,$I$10,$L28,$G$10,$H28)</f>
        <v>#VALUE!</v>
      </c>
      <c r="T28" s="146" t="e">
        <f>IF(R28&lt;&gt;"",_xll.BDP($B28,T$10,$I$10,$L28,$G$10,$H28,$R$10,$R28),_xll.BDP($B28,T$10,$N$10,$O28,$I$10,$L28,$G$10,$H28,$R$10,$R28))</f>
        <v>#VALUE!</v>
      </c>
      <c r="U28" s="146" t="e">
        <f>IF(R28&lt;&gt;"",_xll.BDP($B28,U$10,$I$10,$L28,$G$10,$H28,$R$10,$R28),_xll.BDP($B28,U$10,$N$10,$O28,$I$10,$L28,$G$10,$H28,$R$10,$R28))</f>
        <v>#VALUE!</v>
      </c>
      <c r="V28" s="146" t="e">
        <f>IF(R28&lt;&gt;"",_xll.BDP($B28,V$10,$I$10,$L28,$G$10,$H28,$R$10,$R28),_xll.BDP($B28,V$10,$N$10,$O28,$I$10,$L28,$G$10,$H28,$R$10,$R28))</f>
        <v>#VALUE!</v>
      </c>
      <c r="W28" s="146" t="e">
        <f>IF(R28&lt;&gt;"",_xll.BDP($B28,W$10,$I$10,$L28,$G$10,$H28,$R$10,$R28),_xll.BDP($B28,W$10,$N$10,$O28,$I$10,$L28,$G$10,$H28,$R$10,$R28))</f>
        <v>#VALUE!</v>
      </c>
      <c r="X28" s="146" t="str">
        <f>IF($B28="","",_xll.BDH($B28,X$10,_xll.BTODAY()-1,_xll.BTODAY()-1,"pcs","TUNE"))</f>
        <v/>
      </c>
      <c r="Y28" s="146" t="str">
        <f>IF($B28="","",_xll.BDH($B28,Y$10,_xll.BTODAY()-1,_xll.BTODAY()-1,"pcs","TUNE"))</f>
        <v/>
      </c>
      <c r="AB28" s="32"/>
    </row>
    <row r="32" spans="2:28" x14ac:dyDescent="0.25">
      <c r="T32" s="169"/>
    </row>
  </sheetData>
  <mergeCells count="4">
    <mergeCell ref="W8:Y8"/>
    <mergeCell ref="D8:F8"/>
    <mergeCell ref="G8:R8"/>
    <mergeCell ref="S8:V8"/>
  </mergeCells>
  <conditionalFormatting sqref="S25:V25">
    <cfRule type="expression" dxfId="80" priority="40">
      <formula>$B25=""</formula>
    </cfRule>
  </conditionalFormatting>
  <conditionalFormatting sqref="R25 N25:P25">
    <cfRule type="expression" dxfId="79" priority="43">
      <formula>$B25=""</formula>
    </cfRule>
  </conditionalFormatting>
  <conditionalFormatting sqref="L25">
    <cfRule type="expression" dxfId="78" priority="39">
      <formula>$B25=""</formula>
    </cfRule>
  </conditionalFormatting>
  <conditionalFormatting sqref="B11:C24">
    <cfRule type="expression" dxfId="77" priority="32">
      <formula>$B11=""</formula>
    </cfRule>
  </conditionalFormatting>
  <conditionalFormatting sqref="M25">
    <cfRule type="expression" dxfId="76" priority="34">
      <formula>$B25=""</formula>
    </cfRule>
  </conditionalFormatting>
  <conditionalFormatting sqref="Q26:Q27">
    <cfRule type="expression" dxfId="75" priority="12">
      <formula>$B26=""</formula>
    </cfRule>
  </conditionalFormatting>
  <conditionalFormatting sqref="K26:K27">
    <cfRule type="expression" dxfId="74" priority="9">
      <formula>$B26=""</formula>
    </cfRule>
  </conditionalFormatting>
  <conditionalFormatting sqref="J11:J24">
    <cfRule type="expression" dxfId="73" priority="21">
      <formula>$B11=""</formula>
    </cfRule>
  </conditionalFormatting>
  <conditionalFormatting sqref="H26:H27">
    <cfRule type="expression" dxfId="72" priority="15">
      <formula>$B26=""</formula>
    </cfRule>
  </conditionalFormatting>
  <conditionalFormatting sqref="I11:I24">
    <cfRule type="expression" dxfId="71" priority="23">
      <formula>$B11=""</formula>
    </cfRule>
  </conditionalFormatting>
  <conditionalFormatting sqref="J25">
    <cfRule type="expression" dxfId="70" priority="35">
      <formula>$B25=""</formula>
    </cfRule>
  </conditionalFormatting>
  <conditionalFormatting sqref="W25:X25">
    <cfRule type="expression" dxfId="69" priority="33">
      <formula>$B25=""</formula>
    </cfRule>
  </conditionalFormatting>
  <conditionalFormatting sqref="B26:C27">
    <cfRule type="expression" dxfId="68" priority="17">
      <formula>$B26=""</formula>
    </cfRule>
  </conditionalFormatting>
  <conditionalFormatting sqref="H11:H24">
    <cfRule type="expression" dxfId="67" priority="30">
      <formula>$B11=""</formula>
    </cfRule>
  </conditionalFormatting>
  <conditionalFormatting sqref="R26:R27 N26:P27">
    <cfRule type="expression" dxfId="66" priority="14">
      <formula>$B26=""</formula>
    </cfRule>
  </conditionalFormatting>
  <conditionalFormatting sqref="Q11:Q24">
    <cfRule type="expression" dxfId="65" priority="27">
      <formula>$B11=""</formula>
    </cfRule>
  </conditionalFormatting>
  <conditionalFormatting sqref="S26:V27">
    <cfRule type="expression" dxfId="64" priority="11">
      <formula>$B26=""</formula>
    </cfRule>
  </conditionalFormatting>
  <conditionalFormatting sqref="K11:K24">
    <cfRule type="expression" dxfId="63" priority="24">
      <formula>$B11=""</formula>
    </cfRule>
  </conditionalFormatting>
  <conditionalFormatting sqref="I26:I27">
    <cfRule type="expression" dxfId="62" priority="8">
      <formula>$B26=""</formula>
    </cfRule>
  </conditionalFormatting>
  <conditionalFormatting sqref="J26:J27">
    <cfRule type="expression" dxfId="61" priority="6">
      <formula>$B26=""</formula>
    </cfRule>
  </conditionalFormatting>
  <conditionalFormatting sqref="M26:M27">
    <cfRule type="expression" dxfId="60" priority="5">
      <formula>$B26=""</formula>
    </cfRule>
  </conditionalFormatting>
  <conditionalFormatting sqref="C8">
    <cfRule type="expression" dxfId="59" priority="18">
      <formula>$B8=""</formula>
    </cfRule>
  </conditionalFormatting>
  <conditionalFormatting sqref="Y25">
    <cfRule type="expression" dxfId="58" priority="3">
      <formula>$B25=""</formula>
    </cfRule>
  </conditionalFormatting>
  <conditionalFormatting sqref="Y11:Y24">
    <cfRule type="expression" dxfId="57" priority="2">
      <formula>$B11=""</formula>
    </cfRule>
  </conditionalFormatting>
  <conditionalFormatting sqref="G26:G27">
    <cfRule type="expression" dxfId="56" priority="13">
      <formula>$B26=""</formula>
    </cfRule>
  </conditionalFormatting>
  <conditionalFormatting sqref="L26:L27">
    <cfRule type="expression" dxfId="55" priority="10">
      <formula>$B26=""</formula>
    </cfRule>
  </conditionalFormatting>
  <conditionalFormatting sqref="Y26:Y27">
    <cfRule type="expression" dxfId="54" priority="1">
      <formula>$B26=""</formula>
    </cfRule>
  </conditionalFormatting>
  <conditionalFormatting sqref="W26:X27">
    <cfRule type="expression" dxfId="53" priority="4">
      <formula>$B26=""</formula>
    </cfRule>
  </conditionalFormatting>
  <conditionalFormatting sqref="B25:C25">
    <cfRule type="expression" dxfId="52" priority="46">
      <formula>$B25=""</formula>
    </cfRule>
  </conditionalFormatting>
  <conditionalFormatting sqref="D25:F25">
    <cfRule type="expression" dxfId="51" priority="45">
      <formula>$B25=""</formula>
    </cfRule>
  </conditionalFormatting>
  <conditionalFormatting sqref="H25">
    <cfRule type="expression" dxfId="50" priority="44">
      <formula>$B25=""</formula>
    </cfRule>
  </conditionalFormatting>
  <conditionalFormatting sqref="G25">
    <cfRule type="expression" dxfId="49" priority="42">
      <formula>$B25=""</formula>
    </cfRule>
  </conditionalFormatting>
  <conditionalFormatting sqref="Q25">
    <cfRule type="expression" dxfId="48" priority="41">
      <formula>$B25=""</formula>
    </cfRule>
  </conditionalFormatting>
  <conditionalFormatting sqref="K25">
    <cfRule type="expression" dxfId="47" priority="38">
      <formula>$B25=""</formula>
    </cfRule>
  </conditionalFormatting>
  <conditionalFormatting sqref="I25">
    <cfRule type="expression" dxfId="46" priority="37">
      <formula>$B25=""</formula>
    </cfRule>
  </conditionalFormatting>
  <conditionalFormatting sqref="O25">
    <cfRule type="expression" dxfId="45" priority="36" stopIfTrue="1">
      <formula>$R25&lt;&gt;""</formula>
    </cfRule>
  </conditionalFormatting>
  <conditionalFormatting sqref="D11:F24">
    <cfRule type="expression" dxfId="44" priority="31">
      <formula>$B11=""</formula>
    </cfRule>
  </conditionalFormatting>
  <conditionalFormatting sqref="R11:R24 N11:P24">
    <cfRule type="expression" dxfId="43" priority="29">
      <formula>$B11=""</formula>
    </cfRule>
  </conditionalFormatting>
  <conditionalFormatting sqref="G11:G24">
    <cfRule type="expression" dxfId="42" priority="28">
      <formula>$B11=""</formula>
    </cfRule>
  </conditionalFormatting>
  <conditionalFormatting sqref="S11:V24">
    <cfRule type="expression" dxfId="41" priority="26">
      <formula>$B11=""</formula>
    </cfRule>
  </conditionalFormatting>
  <conditionalFormatting sqref="L11:L24">
    <cfRule type="expression" dxfId="40" priority="25">
      <formula>$B11=""</formula>
    </cfRule>
  </conditionalFormatting>
  <conditionalFormatting sqref="O11:O24">
    <cfRule type="expression" dxfId="39" priority="22" stopIfTrue="1">
      <formula>$R11&lt;&gt;""</formula>
    </cfRule>
  </conditionalFormatting>
  <conditionalFormatting sqref="M11:M24">
    <cfRule type="expression" dxfId="38" priority="20">
      <formula>$B11=""</formula>
    </cfRule>
  </conditionalFormatting>
  <conditionalFormatting sqref="W11:X24">
    <cfRule type="expression" dxfId="37" priority="19">
      <formula>$B11=""</formula>
    </cfRule>
  </conditionalFormatting>
  <conditionalFormatting sqref="D26:F27">
    <cfRule type="expression" dxfId="36" priority="16">
      <formula>$B26=""</formula>
    </cfRule>
  </conditionalFormatting>
  <conditionalFormatting sqref="O26:O27">
    <cfRule type="expression" dxfId="35" priority="7" stopIfTrue="1">
      <formula>$R26&lt;&gt;""</formula>
    </cfRule>
  </conditionalFormatting>
  <dataValidations count="1">
    <dataValidation type="list" allowBlank="1" showInputMessage="1" showErrorMessage="1" sqref="C8" xr:uid="{00000000-0002-0000-0500-000000000000}">
      <formula1>"BID,ASK"</formula1>
    </dataValidation>
  </dataValidations>
  <pageMargins left="0.7" right="0.7" top="0.75" bottom="0.75" header="0.3" footer="0.3"/>
  <pageSetup orientation="portrait" r:id="rId1"/>
  <ignoredErrors>
    <ignoredError sqref="V27:W28 N27:N28 O22 O23 Q23:R23 S27:U28 Q22:R22 P27:P29" evalError="1"/>
  </ignoredError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B1:AD32"/>
  <sheetViews>
    <sheetView showGridLines="0" showRowColHeaders="0" zoomScaleNormal="100" workbookViewId="0">
      <pane ySplit="5" topLeftCell="A6" activePane="bottomLeft" state="frozen"/>
      <selection pane="bottomLeft" activeCell="B12" sqref="B12"/>
    </sheetView>
  </sheetViews>
  <sheetFormatPr defaultRowHeight="15" x14ac:dyDescent="0.25"/>
  <cols>
    <col min="1" max="1" width="1.7109375" customWidth="1"/>
    <col min="2" max="2" width="14.7109375" customWidth="1"/>
    <col min="3" max="3" width="18" customWidth="1"/>
    <col min="4" max="4" width="11.140625" customWidth="1"/>
    <col min="5" max="5" width="14.7109375" customWidth="1"/>
    <col min="6" max="6" width="10.28515625" customWidth="1"/>
    <col min="7" max="8" width="14.7109375" customWidth="1"/>
    <col min="9" max="9" width="13.42578125" customWidth="1"/>
    <col min="10" max="10" width="13.42578125" hidden="1" customWidth="1"/>
    <col min="11" max="11" width="13.42578125" customWidth="1"/>
    <col min="12" max="13" width="13.42578125" hidden="1" customWidth="1"/>
    <col min="14" max="14" width="15.42578125" style="32" customWidth="1"/>
    <col min="15" max="15" width="17" style="32" customWidth="1"/>
    <col min="16" max="16" width="15.42578125" style="32" customWidth="1"/>
    <col min="17" max="17" width="15.85546875" style="32" hidden="1" customWidth="1"/>
    <col min="18" max="18" width="15.140625" style="32" customWidth="1"/>
    <col min="19" max="22" width="13.28515625" style="32" customWidth="1"/>
    <col min="23" max="24" width="12.28515625" style="32" customWidth="1"/>
    <col min="25" max="25" width="9.140625" customWidth="1"/>
    <col min="26" max="26" width="4.140625" customWidth="1"/>
    <col min="28" max="28" width="11.42578125" style="32" customWidth="1"/>
    <col min="29" max="29" width="16.85546875" customWidth="1"/>
    <col min="30" max="30" width="14.28515625" customWidth="1"/>
  </cols>
  <sheetData>
    <row r="1" spans="2:29" ht="5.0999999999999996" customHeight="1" x14ac:dyDescent="0.25"/>
    <row r="2" spans="2:29" ht="15" customHeight="1" x14ac:dyDescent="0.25"/>
    <row r="3" spans="2:29" ht="15" customHeight="1" x14ac:dyDescent="0.25"/>
    <row r="4" spans="2:29" ht="15" customHeight="1" x14ac:dyDescent="0.25"/>
    <row r="5" spans="2:29" ht="5.0999999999999996" customHeight="1" x14ac:dyDescent="0.25"/>
    <row r="6" spans="2:29" x14ac:dyDescent="0.25">
      <c r="B6" s="171" t="str" cm="1">
        <f t="array" ref="B6">_xll.BDP(B11, "short Name")</f>
        <v>BRAZIL-LTN</v>
      </c>
      <c r="D6" s="171"/>
      <c r="E6" s="171"/>
    </row>
    <row r="7" spans="2:29" ht="5.0999999999999996" customHeight="1" x14ac:dyDescent="0.25">
      <c r="AB7"/>
      <c r="AC7" s="32"/>
    </row>
    <row r="8" spans="2:29" s="50" customFormat="1" x14ac:dyDescent="0.25">
      <c r="B8" s="107" t="s">
        <v>150</v>
      </c>
      <c r="C8" s="270" t="s">
        <v>149</v>
      </c>
      <c r="D8" s="327" t="s">
        <v>4</v>
      </c>
      <c r="E8" s="325"/>
      <c r="F8" s="326"/>
      <c r="G8" s="325" t="s">
        <v>26</v>
      </c>
      <c r="H8" s="325"/>
      <c r="I8" s="325"/>
      <c r="J8" s="325"/>
      <c r="K8" s="325"/>
      <c r="L8" s="325"/>
      <c r="M8" s="325"/>
      <c r="N8" s="325"/>
      <c r="O8" s="325"/>
      <c r="P8" s="325"/>
      <c r="Q8" s="325"/>
      <c r="R8" s="326"/>
      <c r="S8" s="325" t="s">
        <v>18</v>
      </c>
      <c r="T8" s="325"/>
      <c r="U8" s="325"/>
      <c r="V8" s="325"/>
      <c r="W8" s="326" t="s">
        <v>358</v>
      </c>
      <c r="X8" s="329"/>
      <c r="AB8" s="124"/>
    </row>
    <row r="9" spans="2:29" s="50" customFormat="1" x14ac:dyDescent="0.25">
      <c r="B9" s="82" t="s">
        <v>55</v>
      </c>
      <c r="C9" s="142" t="s">
        <v>10</v>
      </c>
      <c r="D9" s="30" t="s">
        <v>4</v>
      </c>
      <c r="E9" s="30" t="s">
        <v>12</v>
      </c>
      <c r="F9" s="30" t="s">
        <v>25</v>
      </c>
      <c r="G9" s="30" t="s">
        <v>9</v>
      </c>
      <c r="H9" s="30" t="s">
        <v>9</v>
      </c>
      <c r="I9" s="30" t="s">
        <v>7</v>
      </c>
      <c r="J9" s="30" t="s">
        <v>196</v>
      </c>
      <c r="K9" s="30" t="s">
        <v>7</v>
      </c>
      <c r="L9" s="30" t="s">
        <v>7</v>
      </c>
      <c r="M9" s="30"/>
      <c r="N9" s="30" t="s">
        <v>83</v>
      </c>
      <c r="O9" s="30" t="s">
        <v>5</v>
      </c>
      <c r="P9" s="30" t="str">
        <f>$C$8&amp;" PRICE"</f>
        <v>ASK PRICE</v>
      </c>
      <c r="Q9" s="30" t="str">
        <f>$C$8&amp;" PRICE"</f>
        <v>ASK PRICE</v>
      </c>
      <c r="R9" s="30" t="str">
        <f>$C$8&amp;" PRICE"</f>
        <v>ASK PRICE</v>
      </c>
      <c r="S9" s="30" t="s">
        <v>17</v>
      </c>
      <c r="T9" s="30" t="s">
        <v>14</v>
      </c>
      <c r="U9" s="30" t="s">
        <v>15</v>
      </c>
      <c r="V9" s="30" t="s">
        <v>27</v>
      </c>
      <c r="W9" s="30" t="s">
        <v>359</v>
      </c>
      <c r="X9" s="83" t="s">
        <v>360</v>
      </c>
      <c r="AB9" s="124"/>
    </row>
    <row r="10" spans="2:29" ht="12.75" hidden="1" customHeight="1" x14ac:dyDescent="0.25">
      <c r="B10" s="178">
        <f>COUNTA(B11:B25)</f>
        <v>15</v>
      </c>
      <c r="C10" s="179"/>
      <c r="D10" s="149" t="s">
        <v>4</v>
      </c>
      <c r="E10" s="149" t="s">
        <v>3</v>
      </c>
      <c r="F10" s="149" t="s">
        <v>24</v>
      </c>
      <c r="G10" s="149" t="s">
        <v>8</v>
      </c>
      <c r="H10" s="146" t="s">
        <v>9</v>
      </c>
      <c r="I10" s="146" t="s">
        <v>1</v>
      </c>
      <c r="J10" s="148"/>
      <c r="K10" s="146"/>
      <c r="L10" s="148" t="s">
        <v>7</v>
      </c>
      <c r="M10" s="148"/>
      <c r="N10" s="146" t="str">
        <f>"YLD_YTM_"&amp;$C$8</f>
        <v>YLD_YTM_ASK</v>
      </c>
      <c r="O10" s="146" t="s">
        <v>151</v>
      </c>
      <c r="P10" s="146" t="str">
        <f>"PX "&amp;$C$8</f>
        <v>PX ASK</v>
      </c>
      <c r="Q10" s="149" t="str">
        <f>"PX "&amp;$C$8</f>
        <v>PX ASK</v>
      </c>
      <c r="R10" s="146" t="str">
        <f>"PX "&amp;$C$8</f>
        <v>PX ASK</v>
      </c>
      <c r="S10" s="146" t="str">
        <f>"DUR_"&amp;$C$8</f>
        <v>DUR_ASK</v>
      </c>
      <c r="T10" s="146" t="str">
        <f>"DUR_ADJ_"&amp;$C$8</f>
        <v>DUR_ADJ_ASK</v>
      </c>
      <c r="U10" s="146" t="str">
        <f>"CNVX_"&amp;$C$8</f>
        <v>CNVX_ASK</v>
      </c>
      <c r="V10" s="146" t="str">
        <f>"RISK_"&amp;$C$8</f>
        <v>RISK_ASK</v>
      </c>
      <c r="W10" s="146" t="s">
        <v>361</v>
      </c>
      <c r="X10" s="181" t="s">
        <v>225</v>
      </c>
    </row>
    <row r="11" spans="2:29" x14ac:dyDescent="0.25">
      <c r="B11" s="182" t="str">
        <f>_xll.BCHAIN("LW8106244 Corp","bonds","","SortBy","maturity","SortOrder","asc","cols=1;rows=15")</f>
        <v>BT274755 Corp</v>
      </c>
      <c r="C11" s="150"/>
      <c r="D11" s="154" cm="1">
        <f t="array" ref="D11">_xll.BDP($B11,D$10)*1</f>
        <v>45839</v>
      </c>
      <c r="E11" s="150" t="str" cm="1">
        <f t="array" ref="E11">_xll.BDP($B11,E$10)</f>
        <v>AT MATURITY</v>
      </c>
      <c r="F11" s="150" cm="1">
        <f t="array" ref="F11">_xll.BDP($B11,F$10)</f>
        <v>1000</v>
      </c>
      <c r="G11" s="150" t="str" cm="1">
        <f t="array" ref="G11">_xll.BDP($B11,G$10)</f>
        <v>ANDI</v>
      </c>
      <c r="H11" s="170"/>
      <c r="I11" s="183" cm="1">
        <f t="array" ref="I11">_xll.BDP($B11,I$10)*1</f>
        <v>45831</v>
      </c>
      <c r="J11" s="271">
        <f>IF(K11="",_xll.BADDPERIODS(I11,"CDR=BZ","Per=wd","NumberOfPeriods=-2"),_xll.BADDPERIODS(K11,"CDR=BZ","Per=wd","NumberOfPeriods=-2"))</f>
        <v>45826</v>
      </c>
      <c r="K11" s="279"/>
      <c r="L11" s="158" t="str">
        <f>IF(OR(G11="ANDE",H11="ANDE"),TEXT(YEAR(J11)*10000+MONTH(J11)*100+DAY(J11),"00000000"),IF(K11="",TEXT(YEAR(I11)*10000+MONTH(I11)*100+DAY(I11),"00000000"),TEXT(YEAR(K11)*10000+MONTH(K11)*100+DAY(K11),"00000000")))</f>
        <v>20250623</v>
      </c>
      <c r="M11" s="159" t="str">
        <f>TEXT(YEAR(_xll.BADDPERIODS(J11,"CDR=BZ","Per=wd","NumberOfPeriods=2"))*10000+MONTH(_xll.BADDPERIODS(J11,"CDR=BZ","Per=wd","NumberOfPeriods=2"))*100+DAY(_xll.BADDPERIODS(J11,"CDR=BZ","Per=wd","NumberOfPeriods=2")),"00000000")</f>
        <v>20250623</v>
      </c>
      <c r="N11" s="185" cm="1">
        <f t="array" ref="N11">IF(OR(UPPER(G11)="ANDE",UPPER(H11)="ANDE"),_xll.BDP($B11,$N$10,$G$10,H11,$R$10,R11,$I$10,M11),_xll.BDP($B11,$N$10,$G$10,H11,$R$10,R11,$I$10,L11))</f>
        <v>14.933299999999999</v>
      </c>
      <c r="O11" s="280"/>
      <c r="P11" s="164" cm="1">
        <f t="array" ref="P11">IF(R11="",IF(O11="",_xll.BDP($B11,P$10,$N$10,$N11,$G$10,$H11,$I$10,$L11),_xll.BDP($B11,P$10,$N$10,$O11,$I$10,$M11)),"-")</f>
        <v>996.69163200000003</v>
      </c>
      <c r="Q11" s="163">
        <f>IF(O11="",P11,O11)</f>
        <v>996.69163200000003</v>
      </c>
      <c r="R11" s="281"/>
      <c r="S11" s="165" cm="1">
        <f t="array" ref="S11">IF(R11&lt;&gt;"",_xll.BDP($B11,S$10,$I$10,$L11,$G$10,$H11,$R$10,$R11),_xll.BDP($B11,S$10,$N$10,$O11,$I$10,$L11,$G$10,$H11,$R$10,$R11))</f>
        <v>2.3809523809523808E-2</v>
      </c>
      <c r="T11" s="165" cm="1">
        <f t="array" ref="T11">IF(R11&lt;&gt;"",_xll.BDP($B11,T$10,$I$10,$L11,$G$10,$H11,$R$10,$R11),_xll.BDP($B11,T$10,$N$10,$O11,$I$10,$L11,$G$10,$H11,$R$10,$R11))</f>
        <v>2.0715948194982691E-2</v>
      </c>
      <c r="U11" s="165" cm="1">
        <f t="array" ref="U11">IF(R11&lt;&gt;"",_xll.BDP($B11,U$10,$I$10,$L11,$G$10,$H11,$R$10,$R11),_xll.BDP($B11,U$10,$N$10,$O11,$I$10,$L11,$G$10,$H11,$R$10,$R11))</f>
        <v>1.8453489439493353E-4</v>
      </c>
      <c r="V11" s="165" cm="1">
        <f t="array" ref="V11">IF(R11&lt;&gt;"",_xll.BDP($B11,V$10,$I$10,$L11,$G$10,$H11,$R$10,$R11),_xll.BDP($B11,V$10,$N$10,$O11,$I$10,$L11,$G$10,$H11,$R$10,$R11))</f>
        <v>0.20647412214884753</v>
      </c>
      <c r="W11" s="165" cm="1">
        <f t="array" ref="W11">IF($B11="","",_xll.BDH($B11,W$10,_xlfn.SINGLE(_xll.BTODAY())-1,_xlfn.SINGLE(_xll.BTODAY())-1,"pcs","TUNE"))</f>
        <v>15.139099999999999</v>
      </c>
      <c r="X11" s="283" cm="1">
        <f t="array" ref="X11">IF($B11="","",_xll.BDH($B11,X$10,_xlfn.SINGLE(_xll.BTODAY())-1,_xlfn.SINGLE(_xll.BTODAY())-1,"pcs","TUNE"))</f>
        <v>14.632300000000001</v>
      </c>
    </row>
    <row r="12" spans="2:29" x14ac:dyDescent="0.25">
      <c r="B12" s="182" t="s">
        <v>401</v>
      </c>
      <c r="C12" s="150"/>
      <c r="D12" s="154" cm="1">
        <f t="array" ref="D12">_xll.BDP($B12,D$10)*1</f>
        <v>45931</v>
      </c>
      <c r="E12" s="150" t="str" cm="1">
        <f t="array" ref="E12">_xll.BDP($B12,E$10)</f>
        <v>AT MATURITY</v>
      </c>
      <c r="F12" s="150" cm="1">
        <f t="array" ref="F12">_xll.BDP($B12,F$10)</f>
        <v>1000</v>
      </c>
      <c r="G12" s="150" t="str" cm="1">
        <f t="array" ref="G12">_xll.BDP($B12,G$10)</f>
        <v>ANDI</v>
      </c>
      <c r="H12" s="170"/>
      <c r="I12" s="183" cm="1">
        <f t="array" ref="I12">_xll.BDP($B12,I$10)*1</f>
        <v>45831</v>
      </c>
      <c r="J12" s="271">
        <f>IF(K12="",_xll.BADDPERIODS(I12,"CDR=BZ","Per=wd","NumberOfPeriods=-2"),_xll.BADDPERIODS(K12,"CDR=BZ","Per=wd","NumberOfPeriods=-2"))</f>
        <v>45826</v>
      </c>
      <c r="K12" s="279"/>
      <c r="L12" s="158" t="str">
        <f t="shared" ref="L12:L25" si="0">IF(OR(G12="ANDE",H12="ANDE"),TEXT(YEAR(J12)*10000+MONTH(J12)*100+DAY(J12),"00000000"),IF(K12="",TEXT(YEAR(I12)*10000+MONTH(I12)*100+DAY(I12),"00000000"),TEXT(YEAR(K12)*10000+MONTH(K12)*100+DAY(K12),"00000000")))</f>
        <v>20250623</v>
      </c>
      <c r="M12" s="159" t="str">
        <f>TEXT(YEAR(_xll.BADDPERIODS(J12,"CDR=BZ","Per=wd","NumberOfPeriods=2"))*10000+MONTH(_xll.BADDPERIODS(J12,"CDR=BZ","Per=wd","NumberOfPeriods=2"))*100+DAY(_xll.BADDPERIODS(J12,"CDR=BZ","Per=wd","NumberOfPeriods=2")),"00000000")</f>
        <v>20250623</v>
      </c>
      <c r="N12" s="185" cm="1">
        <f t="array" ref="N12">IF(OR(UPPER(G12)="ANDE",UPPER(H12)="ANDE"),_xll.BDP($B12,$N$10,$G$10,H12,$R$10,R12,$I$10,M12),_xll.BDP($B12,$N$10,$G$10,H12,$R$10,R12,$I$10,L12))</f>
        <v>14.837999999999999</v>
      </c>
      <c r="O12" s="280"/>
      <c r="P12" s="164" cm="1">
        <f t="array" ref="P12">IF(R12="",IF(O12="",_xll.BDP($B12,P$10,$N$10,$N12,$G$10,$H12,$I$10,$L12),_xll.BDP($B12,P$10,$N$10,$O12,$I$10,$M12)),"-")</f>
        <v>961.24186999999995</v>
      </c>
      <c r="Q12" s="163">
        <f t="shared" ref="Q12:Q19" si="1">IF(O12="",P12,O12)</f>
        <v>961.24186999999995</v>
      </c>
      <c r="R12" s="281"/>
      <c r="S12" s="165" cm="1">
        <f t="array" ref="S12">IF(R12&lt;&gt;"",_xll.BDP($B12,S$10,$I$10,$L12,$G$10,$H12,$R$10,$R12),_xll.BDP($B12,S$10,$N$10,$O12,$I$10,$L12,$G$10,$H12,$R$10,$R12))</f>
        <v>0.2857142857142857</v>
      </c>
      <c r="T12" s="165" cm="1">
        <f t="array" ref="T12">IF(R12&lt;&gt;"",_xll.BDP($B12,T$10,$I$10,$L12,$G$10,$H12,$R$10,$R12),_xll.BDP($B12,T$10,$N$10,$O12,$I$10,$L12,$G$10,$H12,$R$10,$R12))</f>
        <v>0.24879768556431928</v>
      </c>
      <c r="U12" s="165" cm="1">
        <f t="array" ref="U12">IF(R12&lt;&gt;"",_xll.BDP($B12,U$10,$I$10,$L12,$G$10,$H12,$R$10,$R12),_xll.BDP($B12,U$10,$N$10,$O12,$I$10,$L12,$G$10,$H12,$R$10,$R12))</f>
        <v>2.7855129946622848E-3</v>
      </c>
      <c r="V12" s="165" cm="1">
        <f t="array" ref="V12">IF(R12&lt;&gt;"",_xll.BDP($B12,V$10,$I$10,$L12,$G$10,$H12,$R$10,$R12),_xll.BDP($B12,V$10,$N$10,$O12,$I$10,$L12,$G$10,$H12,$R$10,$R12))</f>
        <v>2.3915475252351825</v>
      </c>
      <c r="W12" s="165" cm="1">
        <f t="array" ref="W12">IF($B12="","",_xll.BDH($B12,W$10,_xlfn.SINGLE(_xll.BTODAY())-1,_xlfn.SINGLE(_xll.BTODAY())-1,"pcs","TUNE"))</f>
        <v>14.985099999999999</v>
      </c>
      <c r="X12" s="283" cm="1">
        <f t="array" ref="X12">IF($B12="","",_xll.BDH($B12,X$10,_xlfn.SINGLE(_xll.BTODAY())-1,_xlfn.SINGLE(_xll.BTODAY())-1,"pcs","TUNE"))</f>
        <v>14.675000000000001</v>
      </c>
    </row>
    <row r="13" spans="2:29" x14ac:dyDescent="0.25">
      <c r="B13" s="182" t="s">
        <v>402</v>
      </c>
      <c r="C13" s="150"/>
      <c r="D13" s="154" cm="1">
        <f t="array" ref="D13">_xll.BDP($B13,D$10)*1</f>
        <v>46023</v>
      </c>
      <c r="E13" s="150" t="str" cm="1">
        <f t="array" ref="E13">_xll.BDP($B13,E$10)</f>
        <v>AT MATURITY</v>
      </c>
      <c r="F13" s="150" cm="1">
        <f t="array" ref="F13">_xll.BDP($B13,F$10)</f>
        <v>1000</v>
      </c>
      <c r="G13" s="150" t="str" cm="1">
        <f t="array" ref="G13">_xll.BDP($B13,G$10)</f>
        <v>ANDI</v>
      </c>
      <c r="H13" s="170"/>
      <c r="I13" s="183" cm="1">
        <f t="array" ref="I13">_xll.BDP($B13,I$10)*1</f>
        <v>45831</v>
      </c>
      <c r="J13" s="271">
        <f>IF(K13="",_xll.BADDPERIODS(I13,"CDR=BZ","Per=wd","NumberOfPeriods=-2"),_xll.BADDPERIODS(K13,"CDR=BZ","Per=wd","NumberOfPeriods=-2"))</f>
        <v>45826</v>
      </c>
      <c r="K13" s="279"/>
      <c r="L13" s="158" t="str">
        <f t="shared" si="0"/>
        <v>20250623</v>
      </c>
      <c r="M13" s="159" t="str">
        <f>TEXT(YEAR(_xll.BADDPERIODS(J13,"CDR=BZ","Per=wd","NumberOfPeriods=2"))*10000+MONTH(_xll.BADDPERIODS(J13,"CDR=BZ","Per=wd","NumberOfPeriods=2"))*100+DAY(_xll.BADDPERIODS(J13,"CDR=BZ","Per=wd","NumberOfPeriods=2")),"00000000")</f>
        <v>20250623</v>
      </c>
      <c r="N13" s="185" cm="1">
        <f t="array" ref="N13">IF(OR(UPPER(G13)="ANDE",UPPER(H13)="ANDE"),_xll.BDP($B13,$N$10,$G$10,H13,$R$10,R13,$I$10,M13),_xll.BDP($B13,$N$10,$G$10,H13,$R$10,R13,$I$10,L13))</f>
        <v>14.8485</v>
      </c>
      <c r="O13" s="280"/>
      <c r="P13" s="164" cm="1">
        <f t="array" ref="P13">IF(R13="",IF(O13="",_xll.BDP($B13,P$10,$N$10,$N13,$G$10,$H13,$I$10,$L13),_xll.BDP($B13,P$10,$N$10,$O13,$I$10,$M13)),"-")</f>
        <v>928.007338</v>
      </c>
      <c r="Q13" s="163">
        <f t="shared" si="1"/>
        <v>928.007338</v>
      </c>
      <c r="R13" s="281"/>
      <c r="S13" s="165" cm="1">
        <f t="array" ref="S13">IF(R13&lt;&gt;"",_xll.BDP($B13,S$10,$I$10,$L13,$G$10,$H13,$R$10,$R13),_xll.BDP($B13,S$10,$N$10,$O13,$I$10,$L13,$G$10,$H13,$R$10,$R13))</f>
        <v>0.53968253968253965</v>
      </c>
      <c r="T13" s="165" cm="1">
        <f t="array" ref="T13">IF(R13&lt;&gt;"",_xll.BDP($B13,T$10,$I$10,$L13,$G$10,$H13,$R$10,$R13),_xll.BDP($B13,T$10,$N$10,$O13,$I$10,$L13,$G$10,$H13,$R$10,$R13))</f>
        <v>0.46990821965415192</v>
      </c>
      <c r="U13" s="165" cm="1">
        <f t="array" ref="U13">IF(R13&lt;&gt;"",_xll.BDP($B13,U$10,$I$10,$L13,$G$10,$H13,$R$10,$R13),_xll.BDP($B13,U$10,$N$10,$O13,$I$10,$L13,$G$10,$H13,$R$10,$R13))</f>
        <v>6.2996860304141335E-3</v>
      </c>
      <c r="V13" s="165" cm="1">
        <f t="array" ref="V13">IF(R13&lt;&gt;"",_xll.BDP($B13,V$10,$I$10,$L13,$G$10,$H13,$R$10,$R13),_xll.BDP($B13,V$10,$N$10,$O13,$I$10,$L13,$G$10,$H13,$R$10,$R13))</f>
        <v>4.3607827602556881</v>
      </c>
      <c r="W13" s="165" cm="1">
        <f t="array" ref="W13">IF($B13="","",_xll.BDH($B13,W$10,_xlfn.SINGLE(_xll.BTODAY())-1,_xlfn.SINGLE(_xll.BTODAY())-1,"pcs","TUNE"))</f>
        <v>15.0619</v>
      </c>
      <c r="X13" s="283" cm="1">
        <f t="array" ref="X13">IF($B13="","",_xll.BDH($B13,X$10,_xlfn.SINGLE(_xll.BTODAY())-1,_xlfn.SINGLE(_xll.BTODAY())-1,"pcs","TUNE"))</f>
        <v>14.6082</v>
      </c>
    </row>
    <row r="14" spans="2:29" x14ac:dyDescent="0.25">
      <c r="B14" s="182" t="s">
        <v>403</v>
      </c>
      <c r="C14" s="150"/>
      <c r="D14" s="154" cm="1">
        <f t="array" ref="D14">_xll.BDP($B14,D$10)*1</f>
        <v>46113</v>
      </c>
      <c r="E14" s="150" t="str" cm="1">
        <f t="array" ref="E14">_xll.BDP($B14,E$10)</f>
        <v>AT MATURITY</v>
      </c>
      <c r="F14" s="150" cm="1">
        <f t="array" ref="F14">_xll.BDP($B14,F$10)</f>
        <v>1000</v>
      </c>
      <c r="G14" s="150" t="str" cm="1">
        <f t="array" ref="G14">_xll.BDP($B14,G$10)</f>
        <v>ANDI</v>
      </c>
      <c r="H14" s="170"/>
      <c r="I14" s="183" cm="1">
        <f t="array" ref="I14">_xll.BDP($B14,I$10)*1</f>
        <v>45831</v>
      </c>
      <c r="J14" s="271">
        <f>IF(K14="",_xll.BADDPERIODS(I14,"CDR=BZ","Per=wd","NumberOfPeriods=-2"),_xll.BADDPERIODS(K14,"CDR=BZ","Per=wd","NumberOfPeriods=-2"))</f>
        <v>45826</v>
      </c>
      <c r="K14" s="279"/>
      <c r="L14" s="158" t="str">
        <f t="shared" si="0"/>
        <v>20250623</v>
      </c>
      <c r="M14" s="159" t="str">
        <f>TEXT(YEAR(_xll.BADDPERIODS(J14,"CDR=BZ","Per=wd","NumberOfPeriods=2"))*10000+MONTH(_xll.BADDPERIODS(J14,"CDR=BZ","Per=wd","NumberOfPeriods=2"))*100+DAY(_xll.BADDPERIODS(J14,"CDR=BZ","Per=wd","NumberOfPeriods=2")),"00000000")</f>
        <v>20250623</v>
      </c>
      <c r="N14" s="185" cm="1">
        <f t="array" ref="N14">IF(OR(UPPER(G14)="ANDE",UPPER(H14)="ANDE"),_xll.BDP($B14,$N$10,$G$10,H14,$R$10,R14,$I$10,M14),_xll.BDP($B14,$N$10,$G$10,H14,$R$10,R14,$I$10,L14))</f>
        <v>14.8674</v>
      </c>
      <c r="O14" s="280"/>
      <c r="P14" s="164" cm="1">
        <f t="array" ref="P14">IF(R14="",IF(O14="",_xll.BDP($B14,P$10,$N$10,$N14,$G$10,$H14,$I$10,$L14),_xll.BDP($B14,P$10,$N$10,$O14,$I$10,$M14)),"-")</f>
        <v>897.30770600000005</v>
      </c>
      <c r="Q14" s="163">
        <f t="shared" si="1"/>
        <v>897.30770600000005</v>
      </c>
      <c r="R14" s="281"/>
      <c r="S14" s="165" cm="1">
        <f t="array" ref="S14">IF(R14&lt;&gt;"",_xll.BDP($B14,S$10,$I$10,$L14,$G$10,$H14,$R$10,$R14),_xll.BDP($B14,S$10,$N$10,$O14,$I$10,$L14,$G$10,$H14,$R$10,$R14))</f>
        <v>0.78174603174603174</v>
      </c>
      <c r="T14" s="165" cm="1">
        <f t="array" ref="T14">IF(R14&lt;&gt;"",_xll.BDP($B14,T$10,$I$10,$L14,$G$10,$H14,$R$10,$R14),_xll.BDP($B14,T$10,$N$10,$O14,$I$10,$L14,$G$10,$H14,$R$10,$R14))</f>
        <v>0.6805638819366433</v>
      </c>
      <c r="U14" s="165" cm="1">
        <f t="array" ref="U14">IF(R14&lt;&gt;"",_xll.BDP($B14,U$10,$I$10,$L14,$G$10,$H14,$R$10,$R14),_xll.BDP($B14,U$10,$N$10,$O14,$I$10,$L14,$G$10,$H14,$R$10,$R14))</f>
        <v>1.0556450225931293E-2</v>
      </c>
      <c r="V14" s="165" cm="1">
        <f t="array" ref="V14">IF(R14&lt;&gt;"",_xll.BDP($B14,V$10,$I$10,$L14,$G$10,$H14,$R$10,$R14),_xll.BDP($B14,V$10,$N$10,$O14,$I$10,$L14,$G$10,$H14,$R$10,$R14))</f>
        <v>6.1067521568702432</v>
      </c>
      <c r="W14" s="165" cm="1">
        <f t="array" ref="W14">IF($B14="","",_xll.BDH($B14,W$10,_xlfn.SINGLE(_xll.BTODAY())-1,_xlfn.SINGLE(_xll.BTODAY())-1,"pcs","TUNE"))</f>
        <v>15.1691</v>
      </c>
      <c r="X14" s="283" cm="1">
        <f t="array" ref="X14">IF($B14="","",_xll.BDH($B14,X$10,_xlfn.SINGLE(_xll.BTODAY())-1,_xlfn.SINGLE(_xll.BTODAY())-1,"pcs","TUNE"))</f>
        <v>14.514699999999999</v>
      </c>
    </row>
    <row r="15" spans="2:29" x14ac:dyDescent="0.25">
      <c r="B15" s="182" t="s">
        <v>404</v>
      </c>
      <c r="C15" s="150"/>
      <c r="D15" s="154" cm="1">
        <f t="array" ref="D15">_xll.BDP($B15,D$10)*1</f>
        <v>46204</v>
      </c>
      <c r="E15" s="150" t="str" cm="1">
        <f t="array" ref="E15">_xll.BDP($B15,E$10)</f>
        <v>AT MATURITY</v>
      </c>
      <c r="F15" s="150" cm="1">
        <f t="array" ref="F15">_xll.BDP($B15,F$10)</f>
        <v>1000</v>
      </c>
      <c r="G15" s="150" t="str" cm="1">
        <f t="array" ref="G15">_xll.BDP($B15,G$10)</f>
        <v>ANDI</v>
      </c>
      <c r="H15" s="170"/>
      <c r="I15" s="183" cm="1">
        <f t="array" ref="I15">_xll.BDP($B15,I$10)*1</f>
        <v>45831</v>
      </c>
      <c r="J15" s="271">
        <f>IF(K15="",_xll.BADDPERIODS(I15,"CDR=BZ","Per=wd","NumberOfPeriods=-2"),_xll.BADDPERIODS(K15,"CDR=BZ","Per=wd","NumberOfPeriods=-2"))</f>
        <v>45826</v>
      </c>
      <c r="K15" s="279"/>
      <c r="L15" s="158" t="str">
        <f t="shared" si="0"/>
        <v>20250623</v>
      </c>
      <c r="M15" s="159" t="str">
        <f>TEXT(YEAR(_xll.BADDPERIODS(J15,"CDR=BZ","Per=wd","NumberOfPeriods=2"))*10000+MONTH(_xll.BADDPERIODS(J15,"CDR=BZ","Per=wd","NumberOfPeriods=2"))*100+DAY(_xll.BADDPERIODS(J15,"CDR=BZ","Per=wd","NumberOfPeriods=2")),"00000000")</f>
        <v>20250623</v>
      </c>
      <c r="N15" s="185" cm="1">
        <f t="array" ref="N15">IF(OR(UPPER(G15)="ANDE",UPPER(H15)="ANDE"),_xll.BDP($B15,$N$10,$G$10,H15,$R$10,R15,$I$10,M15),_xll.BDP($B15,$N$10,$G$10,H15,$R$10,R15,$I$10,L15))</f>
        <v>14.770899999999999</v>
      </c>
      <c r="O15" s="280"/>
      <c r="P15" s="164" cm="1">
        <f t="array" ref="P15">IF(R15="",IF(O15="",_xll.BDP($B15,P$10,$N$10,$N15,$G$10,$H15,$I$10,$L15),_xll.BDP($B15,P$10,$N$10,$O15,$I$10,$M15)),"-")</f>
        <v>868.44765400000006</v>
      </c>
      <c r="Q15" s="163">
        <f t="shared" si="1"/>
        <v>868.44765400000006</v>
      </c>
      <c r="R15" s="281"/>
      <c r="S15" s="165" cm="1">
        <f t="array" ref="S15">IF(R15&lt;&gt;"",_xll.BDP($B15,S$10,$I$10,$L15,$G$10,$H15,$R$10,$R15),_xll.BDP($B15,S$10,$N$10,$O15,$I$10,$L15,$G$10,$H15,$R$10,$R15))</f>
        <v>1.0238095238095237</v>
      </c>
      <c r="T15" s="165" cm="1">
        <f t="array" ref="T15">IF(R15&lt;&gt;"",_xll.BDP($B15,T$10,$I$10,$L15,$G$10,$H15,$R$10,$R15),_xll.BDP($B15,T$10,$N$10,$O15,$I$10,$L15,$G$10,$H15,$R$10,$R15))</f>
        <v>0.89204626922258257</v>
      </c>
      <c r="U15" s="165" cm="1">
        <f t="array" ref="U15">IF(R15&lt;&gt;"",_xll.BDP($B15,U$10,$I$10,$L15,$G$10,$H15,$R$10,$R15),_xll.BDP($B15,U$10,$N$10,$O15,$I$10,$L15,$G$10,$H15,$R$10,$R15))</f>
        <v>1.5729873532601604E-2</v>
      </c>
      <c r="V15" s="165" cm="1">
        <f t="array" ref="V15">IF(R15&lt;&gt;"",_xll.BDP($B15,V$10,$I$10,$L15,$G$10,$H15,$R$10,$R15),_xll.BDP($B15,V$10,$N$10,$O15,$I$10,$L15,$G$10,$H15,$R$10,$R15))</f>
        <v>7.7469548976580427</v>
      </c>
      <c r="W15" s="165" cm="1">
        <f t="array" ref="W15">IF($B15="","",_xll.BDH($B15,W$10,_xlfn.SINGLE(_xll.BTODAY())-1,_xlfn.SINGLE(_xll.BTODAY())-1,"pcs","TUNE"))</f>
        <v>15.0924</v>
      </c>
      <c r="X15" s="283" cm="1">
        <f t="array" ref="X15">IF($B15="","",_xll.BDH($B15,X$10,_xlfn.SINGLE(_xll.BTODAY())-1,_xlfn.SINGLE(_xll.BTODAY())-1,"pcs","TUNE"))</f>
        <v>14.3329</v>
      </c>
    </row>
    <row r="16" spans="2:29" x14ac:dyDescent="0.25">
      <c r="B16" s="182" t="s">
        <v>405</v>
      </c>
      <c r="C16" s="150"/>
      <c r="D16" s="154" cm="1">
        <f t="array" ref="D16">_xll.BDP($B16,D$10)*1</f>
        <v>46296</v>
      </c>
      <c r="E16" s="150" t="str" cm="1">
        <f t="array" ref="E16">_xll.BDP($B16,E$10)</f>
        <v>AT MATURITY</v>
      </c>
      <c r="F16" s="150" cm="1">
        <f t="array" ref="F16">_xll.BDP($B16,F$10)</f>
        <v>1000</v>
      </c>
      <c r="G16" s="150" t="str" cm="1">
        <f t="array" ref="G16">_xll.BDP($B16,G$10)</f>
        <v>ANDI</v>
      </c>
      <c r="H16" s="170"/>
      <c r="I16" s="183" cm="1">
        <f t="array" ref="I16">_xll.BDP($B16,I$10)*1</f>
        <v>45831</v>
      </c>
      <c r="J16" s="271">
        <f>IF(K16="",_xll.BADDPERIODS(I16,"CDR=BZ","Per=wd","NumberOfPeriods=-2"),_xll.BADDPERIODS(K16,"CDR=BZ","Per=wd","NumberOfPeriods=-2"))</f>
        <v>45826</v>
      </c>
      <c r="K16" s="279"/>
      <c r="L16" s="158" t="str">
        <f t="shared" si="0"/>
        <v>20250623</v>
      </c>
      <c r="M16" s="159" t="str">
        <f>TEXT(YEAR(_xll.BADDPERIODS(J16,"CDR=BZ","Per=wd","NumberOfPeriods=2"))*10000+MONTH(_xll.BADDPERIODS(J16,"CDR=BZ","Per=wd","NumberOfPeriods=2"))*100+DAY(_xll.BADDPERIODS(J16,"CDR=BZ","Per=wd","NumberOfPeriods=2")),"00000000")</f>
        <v>20250623</v>
      </c>
      <c r="N16" s="185" cm="1">
        <f t="array" ref="N16">IF(OR(UPPER(G16)="ANDE",UPPER(H16)="ANDE"),_xll.BDP($B16,$N$10,$G$10,H16,$R$10,R16,$I$10,M16),_xll.BDP($B16,$N$10,$G$10,H16,$R$10,R16,$I$10,L16))</f>
        <v>14.516500000000001</v>
      </c>
      <c r="O16" s="280"/>
      <c r="P16" s="164" cm="1">
        <f t="array" ref="P16">IF(R16="",IF(O16="",_xll.BDP($B16,P$10,$N$10,$N16,$G$10,$H16,$I$10,$L16),_xll.BDP($B16,P$10,$N$10,$O16,$I$10,$M16)),"-")</f>
        <v>840.51620200000002</v>
      </c>
      <c r="Q16" s="163">
        <f t="shared" si="1"/>
        <v>840.51620200000002</v>
      </c>
      <c r="R16" s="281"/>
      <c r="S16" s="165" cm="1">
        <f t="array" ref="S16">IF(R16&lt;&gt;"",_xll.BDP($B16,S$10,$I$10,$L16,$G$10,$H16,$R$10,$R16),_xll.BDP($B16,S$10,$N$10,$O16,$I$10,$L16,$G$10,$H16,$R$10,$R16))</f>
        <v>1.2817460317460319</v>
      </c>
      <c r="T16" s="165" cm="1">
        <f t="array" ref="T16">IF(R16&lt;&gt;"",_xll.BDP($B16,T$10,$I$10,$L16,$G$10,$H16,$R$10,$R16),_xll.BDP($B16,T$10,$N$10,$O16,$I$10,$L16,$G$10,$H16,$R$10,$R16))</f>
        <v>1.1192675665615275</v>
      </c>
      <c r="U16" s="165" cm="1">
        <f t="array" ref="U16">IF(R16&lt;&gt;"",_xll.BDP($B16,U$10,$I$10,$L16,$G$10,$H16,$R$10,$R16),_xll.BDP($B16,U$10,$N$10,$O16,$I$10,$L16,$G$10,$H16,$R$10,$R16))</f>
        <v>2.2301453080754763E-2</v>
      </c>
      <c r="V16" s="165" cm="1">
        <f t="array" ref="V16">IF(R16&lt;&gt;"",_xll.BDP($B16,V$10,$I$10,$L16,$G$10,$H16,$R$10,$R16),_xll.BDP($B16,V$10,$N$10,$O16,$I$10,$L16,$G$10,$H16,$R$10,$R16))</f>
        <v>9.4076252406807725</v>
      </c>
      <c r="W16" s="165" cm="1">
        <f t="array" ref="W16">IF($B16="","",_xll.BDH($B16,W$10,_xlfn.SINGLE(_xll.BTODAY())-1,_xlfn.SINGLE(_xll.BTODAY())-1,"pcs","TUNE"))</f>
        <v>14.881</v>
      </c>
      <c r="X16" s="283" cm="1">
        <f t="array" ref="X16">IF($B16="","",_xll.BDH($B16,X$10,_xlfn.SINGLE(_xll.BTODAY())-1,_xlfn.SINGLE(_xll.BTODAY())-1,"pcs","TUNE"))</f>
        <v>14.0512</v>
      </c>
    </row>
    <row r="17" spans="2:30" x14ac:dyDescent="0.25">
      <c r="B17" s="182" t="s">
        <v>406</v>
      </c>
      <c r="C17" s="150"/>
      <c r="D17" s="154" cm="1">
        <f t="array" ref="D17">_xll.BDP($B17,D$10)*1</f>
        <v>46478</v>
      </c>
      <c r="E17" s="150" t="str" cm="1">
        <f t="array" ref="E17">_xll.BDP($B17,E$10)</f>
        <v>AT MATURITY</v>
      </c>
      <c r="F17" s="150" cm="1">
        <f t="array" ref="F17">_xll.BDP($B17,F$10)</f>
        <v>1000</v>
      </c>
      <c r="G17" s="150" t="str" cm="1">
        <f t="array" ref="G17">_xll.BDP($B17,G$10)</f>
        <v>ANDI</v>
      </c>
      <c r="H17" s="170"/>
      <c r="I17" s="183" cm="1">
        <f t="array" ref="I17">_xll.BDP($B17,I$10)*1</f>
        <v>45831</v>
      </c>
      <c r="J17" s="271">
        <f>IF(K17="",_xll.BADDPERIODS(I17,"CDR=BZ","Per=wd","NumberOfPeriods=-2"),_xll.BADDPERIODS(K17,"CDR=BZ","Per=wd","NumberOfPeriods=-2"))</f>
        <v>45826</v>
      </c>
      <c r="K17" s="279"/>
      <c r="L17" s="158" t="str">
        <f t="shared" si="0"/>
        <v>20250623</v>
      </c>
      <c r="M17" s="159" t="str">
        <f>TEXT(YEAR(_xll.BADDPERIODS(J17,"CDR=BZ","Per=wd","NumberOfPeriods=2"))*10000+MONTH(_xll.BADDPERIODS(J17,"CDR=BZ","Per=wd","NumberOfPeriods=2"))*100+DAY(_xll.BADDPERIODS(J17,"CDR=BZ","Per=wd","NumberOfPeriods=2")),"00000000")</f>
        <v>20250623</v>
      </c>
      <c r="N17" s="185" cm="1">
        <f t="array" ref="N17">IF(OR(UPPER(G17)="ANDE",UPPER(H17)="ANDE"),_xll.BDP($B17,$N$10,$G$10,H17,$R$10,R17,$I$10,M17),_xll.BDP($B17,$N$10,$G$10,H17,$R$10,R17,$I$10,L17))</f>
        <v>14.090999999999999</v>
      </c>
      <c r="O17" s="280"/>
      <c r="P17" s="164" cm="1">
        <f t="array" ref="P17">IF(R17="",IF(O17="",_xll.BDP($B17,P$10,$N$10,$N17,$G$10,$H17,$I$10,$L17),_xll.BDP($B17,P$10,$N$10,$O17,$I$10,$M17)),"-")</f>
        <v>792.321281</v>
      </c>
      <c r="Q17" s="163">
        <f t="shared" si="1"/>
        <v>792.321281</v>
      </c>
      <c r="R17" s="281"/>
      <c r="S17" s="165" cm="1">
        <f t="array" ref="S17">IF(R17&lt;&gt;"",_xll.BDP($B17,S$10,$I$10,$L17,$G$10,$H17,$R$10,$R17),_xll.BDP($B17,S$10,$N$10,$O17,$I$10,$L17,$G$10,$H17,$R$10,$R17))</f>
        <v>1.7658730158730158</v>
      </c>
      <c r="T17" s="165" cm="1">
        <f t="array" ref="T17">IF(R17&lt;&gt;"",_xll.BDP($B17,T$10,$I$10,$L17,$G$10,$H17,$R$10,$R17),_xll.BDP($B17,T$10,$N$10,$O17,$I$10,$L17,$G$10,$H17,$R$10,$R17))</f>
        <v>1.547775932205417</v>
      </c>
      <c r="U17" s="165" cm="1">
        <f t="array" ref="U17">IF(R17&lt;&gt;"",_xll.BDP($B17,U$10,$I$10,$L17,$G$10,$H17,$R$10,$R17),_xll.BDP($B17,U$10,$N$10,$O17,$I$10,$L17,$G$10,$H17,$R$10,$R17))</f>
        <v>3.7522255445530638E-2</v>
      </c>
      <c r="V17" s="165" cm="1">
        <f t="array" ref="V17">IF(R17&lt;&gt;"",_xll.BDP($B17,V$10,$I$10,$L17,$G$10,$H17,$R$10,$R17),_xll.BDP($B17,V$10,$N$10,$O17,$I$10,$L17,$G$10,$H17,$R$10,$R17))</f>
        <v>12.263358093059651</v>
      </c>
      <c r="W17" s="165" cm="1">
        <f t="array" ref="W17">IF($B17="","",_xll.BDH($B17,W$10,_xlfn.SINGLE(_xll.BTODAY())-1,_xlfn.SINGLE(_xll.BTODAY())-1,"pcs","TUNE"))</f>
        <v>14.571</v>
      </c>
      <c r="X17" s="283" cm="1">
        <f t="array" ref="X17">IF($B17="","",_xll.BDH($B17,X$10,_xlfn.SINGLE(_xll.BTODAY())-1,_xlfn.SINGLE(_xll.BTODAY())-1,"pcs","TUNE"))</f>
        <v>13.6286</v>
      </c>
    </row>
    <row r="18" spans="2:30" x14ac:dyDescent="0.25">
      <c r="B18" s="182" t="s">
        <v>407</v>
      </c>
      <c r="C18" s="150"/>
      <c r="D18" s="154" cm="1">
        <f t="array" ref="D18">_xll.BDP($B18,D$10)*1</f>
        <v>46569</v>
      </c>
      <c r="E18" s="150" t="str" cm="1">
        <f t="array" ref="E18">_xll.BDP($B18,E$10)</f>
        <v>AT MATURITY</v>
      </c>
      <c r="F18" s="150" cm="1">
        <f t="array" ref="F18">_xll.BDP($B18,F$10)</f>
        <v>1000</v>
      </c>
      <c r="G18" s="150" t="str" cm="1">
        <f t="array" ref="G18">_xll.BDP($B18,G$10)</f>
        <v>ANDI</v>
      </c>
      <c r="H18" s="170"/>
      <c r="I18" s="183" cm="1">
        <f t="array" ref="I18">_xll.BDP($B18,I$10)*1</f>
        <v>45831</v>
      </c>
      <c r="J18" s="271">
        <f>IF(K18="",_xll.BADDPERIODS(I18,"CDR=BZ","Per=wd","NumberOfPeriods=-2"),_xll.BADDPERIODS(K18,"CDR=BZ","Per=wd","NumberOfPeriods=-2"))</f>
        <v>45826</v>
      </c>
      <c r="K18" s="279"/>
      <c r="L18" s="158" t="str">
        <f t="shared" si="0"/>
        <v>20250623</v>
      </c>
      <c r="M18" s="159" t="str">
        <f>TEXT(YEAR(_xll.BADDPERIODS(J18,"CDR=BZ","Per=wd","NumberOfPeriods=2"))*10000+MONTH(_xll.BADDPERIODS(J18,"CDR=BZ","Per=wd","NumberOfPeriods=2"))*100+DAY(_xll.BADDPERIODS(J18,"CDR=BZ","Per=wd","NumberOfPeriods=2")),"00000000")</f>
        <v>20250623</v>
      </c>
      <c r="N18" s="185" cm="1">
        <f t="array" ref="N18">IF(OR(UPPER(G18)="ANDE",UPPER(H18)="ANDE"),_xll.BDP($B18,$N$10,$G$10,H18,$R$10,R18,$I$10,M18),_xll.BDP($B18,$N$10,$G$10,H18,$R$10,R18,$I$10,L18))</f>
        <v>13.866300000000001</v>
      </c>
      <c r="O18" s="280"/>
      <c r="P18" s="164" cm="1">
        <f t="array" ref="P18">IF(R18="",IF(O18="",_xll.BDP($B18,P$10,$N$10,$N18,$G$10,$H18,$I$10,$L18),_xll.BDP($B18,P$10,$N$10,$O18,$I$10,$M18)),"-")</f>
        <v>769.68747599999995</v>
      </c>
      <c r="Q18" s="163">
        <f t="shared" si="1"/>
        <v>769.68747599999995</v>
      </c>
      <c r="R18" s="281"/>
      <c r="S18" s="165" cm="1">
        <f t="array" ref="S18">IF(R18&lt;&gt;"",_xll.BDP($B18,S$10,$I$10,$L18,$G$10,$H18,$R$10,$R18),_xll.BDP($B18,S$10,$N$10,$O18,$I$10,$L18,$G$10,$H18,$R$10,$R18))</f>
        <v>2.0158730158730158</v>
      </c>
      <c r="T18" s="165" cm="1">
        <f t="array" ref="T18">IF(R18&lt;&gt;"",_xll.BDP($B18,T$10,$I$10,$L18,$G$10,$H18,$R$10,$R18),_xll.BDP($B18,T$10,$N$10,$O18,$I$10,$L18,$G$10,$H18,$R$10,$R18))</f>
        <v>1.770386010973876</v>
      </c>
      <c r="U18" s="165" cm="1">
        <f t="array" ref="U18">IF(R18&lt;&gt;"",_xll.BDP($B18,U$10,$I$10,$L18,$G$10,$H18,$R$10,$R18),_xll.BDP($B18,U$10,$N$10,$O18,$I$10,$L18,$G$10,$H18,$R$10,$R18))</f>
        <v>4.6890602453239789E-2</v>
      </c>
      <c r="V18" s="165" cm="1">
        <f t="array" ref="V18">IF(R18&lt;&gt;"",_xll.BDP($B18,V$10,$I$10,$L18,$G$10,$H18,$R$10,$R18),_xll.BDP($B18,V$10,$N$10,$O18,$I$10,$L18,$G$10,$H18,$R$10,$R18))</f>
        <v>13.626439403321911</v>
      </c>
      <c r="W18" s="165" cm="1">
        <f t="array" ref="W18">IF($B18="","",_xll.BDH($B18,W$10,_xlfn.SINGLE(_xll.BTODAY())-1,_xlfn.SINGLE(_xll.BTODAY())-1,"pcs","TUNE"))</f>
        <v>14.403</v>
      </c>
      <c r="X18" s="283" cm="1">
        <f t="array" ref="X18">IF($B18="","",_xll.BDH($B18,X$10,_xlfn.SINGLE(_xll.BTODAY())-1,_xlfn.SINGLE(_xll.BTODAY())-1,"pcs","TUNE"))</f>
        <v>13.431900000000001</v>
      </c>
    </row>
    <row r="19" spans="2:30" x14ac:dyDescent="0.25">
      <c r="B19" s="182" t="s">
        <v>408</v>
      </c>
      <c r="C19" s="150"/>
      <c r="D19" s="154" cm="1">
        <f t="array" ref="D19">_xll.BDP($B19,D$10)*1</f>
        <v>46661</v>
      </c>
      <c r="E19" s="150" t="str" cm="1">
        <f t="array" ref="E19">_xll.BDP($B19,E$10)</f>
        <v>AT MATURITY</v>
      </c>
      <c r="F19" s="150" cm="1">
        <f t="array" ref="F19">_xll.BDP($B19,F$10)</f>
        <v>1000</v>
      </c>
      <c r="G19" s="150" t="str" cm="1">
        <f t="array" ref="G19">_xll.BDP($B19,G$10)</f>
        <v>BVAL</v>
      </c>
      <c r="H19" s="170"/>
      <c r="I19" s="183" cm="1">
        <f t="array" ref="I19">_xll.BDP($B19,I$10)*1</f>
        <v>45842</v>
      </c>
      <c r="J19" s="271" cm="1">
        <f t="array" ref="J19">IF(K19="",_xll.BADDPERIODS(I19,"CDR=BZ","Per=wd","NumberOfPeriods=-2"),_xll.BADDPERIODS(K19,"CDR=BZ","Per=wd","NumberOfPeriods=-2"))</f>
        <v>45840</v>
      </c>
      <c r="K19" s="279"/>
      <c r="L19" s="158" t="str">
        <f t="shared" si="0"/>
        <v>20250704</v>
      </c>
      <c r="M19" s="159" t="str">
        <f>TEXT(YEAR(_xll.BADDPERIODS(J19,"CDR=BZ","Per=wd","NumberOfPeriods=2"))*10000+MONTH(_xll.BADDPERIODS(J19,"CDR=BZ","Per=wd","NumberOfPeriods=2"))*100+DAY(_xll.BADDPERIODS(J19,"CDR=BZ","Per=wd","NumberOfPeriods=2")),"00000000")</f>
        <v>20250704</v>
      </c>
      <c r="N19" s="185" cm="1">
        <f t="array" ref="N19">IF(OR(UPPER(G19)="ANDE",UPPER(H19)="ANDE"),_xll.BDP($B19,$N$10,$G$10,H19,$R$10,R19,$I$10,M19),_xll.BDP($B19,$N$10,$G$10,H19,$R$10,R19,$I$10,L19))</f>
        <v>13.7378</v>
      </c>
      <c r="O19" s="280"/>
      <c r="P19" s="164" cm="1">
        <f t="array" ref="P19">IF(R19="",IF(O19="",_xll.BDP($B19,P$10,$N$10,$N19,$G$10,$H19,$I$10,$L19),_xll.BDP($B19,P$10,$N$10,$O19,$I$10,$M19)),"-")</f>
        <v>749.68648299999995</v>
      </c>
      <c r="Q19" s="163">
        <f t="shared" si="1"/>
        <v>749.68648299999995</v>
      </c>
      <c r="R19" s="281"/>
      <c r="S19" s="165" cm="1">
        <f t="array" ref="S19">IF(R19&lt;&gt;"",_xll.BDP($B19,S$10,$I$10,$L19,$G$10,$H19,$R$10,$R19),_xll.BDP($B19,S$10,$N$10,$O19,$I$10,$L19,$G$10,$H19,$R$10,$R19))</f>
        <v>2.2380952380952381</v>
      </c>
      <c r="T19" s="165" cm="1">
        <f t="array" ref="T19">IF(R19&lt;&gt;"",_xll.BDP($B19,T$10,$I$10,$L19,$G$10,$H19,$R$10,$R19),_xll.BDP($B19,T$10,$N$10,$O19,$I$10,$L19,$G$10,$H19,$R$10,$R19))</f>
        <v>1.9677672401075346</v>
      </c>
      <c r="U19" s="165" cm="1">
        <f t="array" ref="U19">IF(R19&lt;&gt;"",_xll.BDP($B19,U$10,$I$10,$L19,$G$10,$H19,$R$10,$R19),_xll.BDP($B19,U$10,$N$10,$O19,$I$10,$L19,$G$10,$H19,$R$10,$R19))</f>
        <v>5.6021985319596145E-2</v>
      </c>
      <c r="V19" s="165" cm="1">
        <f t="array" ref="V19">IF(R19&lt;&gt;"",_xll.BDP($B19,V$10,$I$10,$L19,$G$10,$H19,$R$10,$R19),_xll.BDP($B19,V$10,$N$10,$O19,$I$10,$L19,$G$10,$H19,$R$10,$R19))</f>
        <v>14.752083402419203</v>
      </c>
      <c r="W19" s="165" t="str" cm="1">
        <f t="array" ref="W19">IF($B19="","",_xll.BDH($B19,W$10,_xlfn.SINGLE(_xll.BTODAY())-1,_xlfn.SINGLE(_xll.BTODAY())-1,"pcs","TUNE"))</f>
        <v>#N/A N/A</v>
      </c>
      <c r="X19" s="283" t="str" cm="1">
        <f t="array" ref="X19">IF($B19="","",_xll.BDH($B19,X$10,_xlfn.SINGLE(_xll.BTODAY())-1,_xlfn.SINGLE(_xll.BTODAY())-1,"pcs","TUNE"))</f>
        <v>#N/A N/A</v>
      </c>
    </row>
    <row r="20" spans="2:30" x14ac:dyDescent="0.25">
      <c r="B20" s="182" t="s">
        <v>409</v>
      </c>
      <c r="C20" s="150"/>
      <c r="D20" s="154" cm="1">
        <f t="array" ref="D20">_xll.BDP($B20,D$10)*1</f>
        <v>46753</v>
      </c>
      <c r="E20" s="150" t="str" cm="1">
        <f t="array" ref="E20">_xll.BDP($B20,E$10)</f>
        <v>AT MATURITY</v>
      </c>
      <c r="F20" s="150" cm="1">
        <f t="array" ref="F20">_xll.BDP($B20,F$10)</f>
        <v>1000</v>
      </c>
      <c r="G20" s="150" t="str" cm="1">
        <f t="array" ref="G20">_xll.BDP($B20,G$10)</f>
        <v>ANDI</v>
      </c>
      <c r="H20" s="170"/>
      <c r="I20" s="183" cm="1">
        <f t="array" ref="I20">_xll.BDP($B20,I$10)*1</f>
        <v>45831</v>
      </c>
      <c r="J20" s="271">
        <f>IF(K20="",_xll.BADDPERIODS(I20,"CDR=BZ","Per=wd","NumberOfPeriods=-2"),_xll.BADDPERIODS(K20,"CDR=BZ","Per=wd","NumberOfPeriods=-2"))</f>
        <v>45826</v>
      </c>
      <c r="K20" s="279"/>
      <c r="L20" s="158" t="str">
        <f t="shared" si="0"/>
        <v>20250623</v>
      </c>
      <c r="M20" s="159" t="str">
        <f>TEXT(YEAR(_xll.BADDPERIODS(J20,"CDR=BZ","Per=wd","NumberOfPeriods=2"))*10000+MONTH(_xll.BADDPERIODS(J20,"CDR=BZ","Per=wd","NumberOfPeriods=2"))*100+DAY(_xll.BADDPERIODS(J20,"CDR=BZ","Per=wd","NumberOfPeriods=2")),"00000000")</f>
        <v>20250623</v>
      </c>
      <c r="N20" s="185" cm="1">
        <f t="array" ref="N20">IF(OR(UPPER(G20)="ANDE",UPPER(H20)="ANDE"),_xll.BDP($B20,$N$10,$G$10,H20,$R$10,R20,$I$10,M20),_xll.BDP($B20,$N$10,$G$10,H20,$R$10,R20,$I$10,L20))</f>
        <v>13.5632</v>
      </c>
      <c r="O20" s="280"/>
      <c r="P20" s="164" cm="1">
        <f t="array" ref="P20">IF(R20="",IF(O20="",_xll.BDP($B20,P$10,$N$10,$N20,$G$10,$H20,$I$10,$L20),_xll.BDP($B20,P$10,$N$10,$O20,$I$10,$M20)),"-")</f>
        <v>725.42206999999996</v>
      </c>
      <c r="Q20" s="163">
        <f t="shared" ref="Q20:Q25" si="2">IF(O20="",P20,O20)</f>
        <v>725.42206999999996</v>
      </c>
      <c r="R20" s="281"/>
      <c r="S20" s="165" cm="1">
        <f t="array" ref="S20">IF(R20&lt;&gt;"",_xll.BDP($B20,S$10,$I$10,$L20,$G$10,$H20,$R$10,$R20),_xll.BDP($B20,S$10,$N$10,$O20,$I$10,$L20,$G$10,$H20,$R$10,$R20))</f>
        <v>2.5238095238095237</v>
      </c>
      <c r="T20" s="165" cm="1">
        <f t="array" ref="T20">IF(R20&lt;&gt;"",_xll.BDP($B20,T$10,$I$10,$L20,$G$10,$H20,$R$10,$R20),_xll.BDP($B20,T$10,$N$10,$O20,$I$10,$L20,$G$10,$H20,$R$10,$R20))</f>
        <v>2.222383285634141</v>
      </c>
      <c r="U20" s="165" cm="1">
        <f t="array" ref="U20">IF(R20&lt;&gt;"",_xll.BDP($B20,U$10,$I$10,$L20,$G$10,$H20,$R$10,$R20),_xll.BDP($B20,U$10,$N$10,$O20,$I$10,$L20,$G$10,$H20,$R$10,$R20))</f>
        <v>6.8959445945170977E-2</v>
      </c>
      <c r="V20" s="165" cm="1">
        <f t="array" ref="V20">IF(R20&lt;&gt;"",_xll.BDP($B20,V$10,$I$10,$L20,$G$10,$H20,$R$10,$R20),_xll.BDP($B20,V$10,$N$10,$O20,$I$10,$L20,$G$10,$H20,$R$10,$R20))</f>
        <v>16.121658833981201</v>
      </c>
      <c r="W20" s="165" cm="1">
        <f t="array" ref="W20">IF($B20="","",_xll.BDH($B20,W$10,_xlfn.SINGLE(_xll.BTODAY())-1,_xlfn.SINGLE(_xll.BTODAY())-1,"pcs","TUNE"))</f>
        <v>14.1838</v>
      </c>
      <c r="X20" s="283" cm="1">
        <f t="array" ref="X20">IF($B20="","",_xll.BDH($B20,X$10,_xlfn.SINGLE(_xll.BTODAY())-1,_xlfn.SINGLE(_xll.BTODAY())-1,"pcs","TUNE"))</f>
        <v>13.171200000000001</v>
      </c>
    </row>
    <row r="21" spans="2:30" x14ac:dyDescent="0.25">
      <c r="B21" s="182" t="s">
        <v>410</v>
      </c>
      <c r="C21" s="150"/>
      <c r="D21" s="154" cm="1">
        <f t="array" ref="D21">_xll.BDP($B21,D$10)*1</f>
        <v>46935</v>
      </c>
      <c r="E21" s="150" t="str" cm="1">
        <f t="array" ref="E21">_xll.BDP($B21,E$10)</f>
        <v>AT MATURITY</v>
      </c>
      <c r="F21" s="150" cm="1">
        <f t="array" ref="F21">_xll.BDP($B21,F$10)</f>
        <v>1000</v>
      </c>
      <c r="G21" s="150" t="str" cm="1">
        <f t="array" ref="G21">_xll.BDP($B21,G$10)</f>
        <v>ANDI</v>
      </c>
      <c r="H21" s="170"/>
      <c r="I21" s="183" cm="1">
        <f t="array" ref="I21">_xll.BDP($B21,I$10)*1</f>
        <v>45831</v>
      </c>
      <c r="J21" s="271">
        <f>IF(K21="",_xll.BADDPERIODS(I21,"CDR=BZ","Per=wd","NumberOfPeriods=-2"),_xll.BADDPERIODS(K21,"CDR=BZ","Per=wd","NumberOfPeriods=-2"))</f>
        <v>45826</v>
      </c>
      <c r="K21" s="279"/>
      <c r="L21" s="158" t="str">
        <f t="shared" si="0"/>
        <v>20250623</v>
      </c>
      <c r="M21" s="159" t="str">
        <f>TEXT(YEAR(_xll.BADDPERIODS(J21,"CDR=BZ","Per=wd","NumberOfPeriods=2"))*10000+MONTH(_xll.BADDPERIODS(J21,"CDR=BZ","Per=wd","NumberOfPeriods=2"))*100+DAY(_xll.BADDPERIODS(J21,"CDR=BZ","Per=wd","NumberOfPeriods=2")),"00000000")</f>
        <v>20250623</v>
      </c>
      <c r="N21" s="185" cm="1">
        <f t="array" ref="N21">IF(OR(UPPER(G21)="ANDE",UPPER(H21)="ANDE"),_xll.BDP($B21,$N$10,$G$10,H21,$R$10,R21,$I$10,M21),_xll.BDP($B21,$N$10,$G$10,H21,$R$10,R21,$I$10,L21))</f>
        <v>13.4346</v>
      </c>
      <c r="O21" s="280"/>
      <c r="P21" s="164" cm="1">
        <f t="array" ref="P21">IF(R21="",IF(O21="",_xll.BDP($B21,P$10,$N$10,$N21,$G$10,$H21,$I$10,$L21),_xll.BDP($B21,P$10,$N$10,$O21,$I$10,$M21)),"-")</f>
        <v>683.74535800000001</v>
      </c>
      <c r="Q21" s="163">
        <f t="shared" si="2"/>
        <v>683.74535800000001</v>
      </c>
      <c r="R21" s="281"/>
      <c r="S21" s="165" cm="1">
        <f t="array" ref="S21">IF(R21&lt;&gt;"",_xll.BDP($B21,S$10,$I$10,$L21,$G$10,$H21,$R$10,$R21),_xll.BDP($B21,S$10,$N$10,$O21,$I$10,$L21,$G$10,$H21,$R$10,$R21))</f>
        <v>3.0158730158730158</v>
      </c>
      <c r="T21" s="165" cm="1">
        <f t="array" ref="T21">IF(R21&lt;&gt;"",_xll.BDP($B21,T$10,$I$10,$L21,$G$10,$H21,$R$10,$R21),_xll.BDP($B21,T$10,$N$10,$O21,$I$10,$L21,$G$10,$H21,$R$10,$R21))</f>
        <v>2.6586888777373243</v>
      </c>
      <c r="U21" s="165" cm="1">
        <f t="array" ref="U21">IF(R21&lt;&gt;"",_xll.BDP($B21,U$10,$I$10,$L21,$G$10,$H21,$R$10,$R21),_xll.BDP($B21,U$10,$N$10,$O21,$I$10,$L21,$G$10,$H21,$R$10,$R21))</f>
        <v>9.4124340140682536E-2</v>
      </c>
      <c r="V21" s="165" cm="1">
        <f t="array" ref="V21">IF(R21&lt;&gt;"",_xll.BDP($B21,V$10,$I$10,$L21,$G$10,$H21,$R$10,$R21),_xll.BDP($B21,V$10,$N$10,$O21,$I$10,$L21,$G$10,$H21,$R$10,$R21))</f>
        <v>18.178661785191252</v>
      </c>
      <c r="W21" s="165" cm="1">
        <f t="array" ref="W21">IF($B21="","",_xll.BDH($B21,W$10,_xlfn.SINGLE(_xll.BTODAY())-1,_xlfn.SINGLE(_xll.BTODAY())-1,"pcs","TUNE"))</f>
        <v>14.0954</v>
      </c>
      <c r="X21" s="283" cm="1">
        <f t="array" ref="X21">IF($B21="","",_xll.BDH($B21,X$10,_xlfn.SINGLE(_xll.BTODAY())-1,_xlfn.SINGLE(_xll.BTODAY())-1,"pcs","TUNE"))</f>
        <v>13.078200000000001</v>
      </c>
    </row>
    <row r="22" spans="2:30" x14ac:dyDescent="0.25">
      <c r="B22" s="182" t="s">
        <v>411</v>
      </c>
      <c r="C22" s="150"/>
      <c r="D22" s="154" cm="1">
        <f t="array" ref="D22">_xll.BDP($B22,D$10)*1</f>
        <v>47119</v>
      </c>
      <c r="E22" s="150" t="str" cm="1">
        <f t="array" ref="E22">_xll.BDP($B22,E$10)</f>
        <v>AT MATURITY</v>
      </c>
      <c r="F22" s="150" cm="1">
        <f t="array" ref="F22">_xll.BDP($B22,F$10)</f>
        <v>1000</v>
      </c>
      <c r="G22" s="150" t="str" cm="1">
        <f t="array" ref="G22">_xll.BDP($B22,G$10)</f>
        <v>ANDI</v>
      </c>
      <c r="H22" s="170"/>
      <c r="I22" s="183" cm="1">
        <f t="array" ref="I22">_xll.BDP($B22,I$10)*1</f>
        <v>45831</v>
      </c>
      <c r="J22" s="271">
        <f>IF(K22="",_xll.BADDPERIODS(I22,"CDR=BZ","Per=wd","NumberOfPeriods=-2"),_xll.BADDPERIODS(K22,"CDR=BZ","Per=wd","NumberOfPeriods=-2"))</f>
        <v>45826</v>
      </c>
      <c r="K22" s="279"/>
      <c r="L22" s="158" t="str">
        <f t="shared" si="0"/>
        <v>20250623</v>
      </c>
      <c r="M22" s="159" t="str">
        <f>TEXT(YEAR(_xll.BADDPERIODS(J22,"CDR=BZ","Per=wd","NumberOfPeriods=2"))*10000+MONTH(_xll.BADDPERIODS(J22,"CDR=BZ","Per=wd","NumberOfPeriods=2"))*100+DAY(_xll.BADDPERIODS(J22,"CDR=BZ","Per=wd","NumberOfPeriods=2")),"00000000")</f>
        <v>20250623</v>
      </c>
      <c r="N22" s="185" cm="1">
        <f t="array" ref="N22">IF(OR(UPPER(G22)="ANDE",UPPER(H22)="ANDE"),_xll.BDP($B22,$N$10,$G$10,H22,$R$10,R22,$I$10,M22),_xll.BDP($B22,$N$10,$G$10,H22,$R$10,R22,$I$10,L22))</f>
        <v>13.4968</v>
      </c>
      <c r="O22" s="280"/>
      <c r="P22" s="164" cm="1">
        <f t="array" ref="P22">IF(R22="",IF(O22="",_xll.BDP($B22,P$10,$N$10,$N22,$G$10,$H22,$I$10,$L22),_xll.BDP($B22,P$10,$N$10,$O22,$I$10,$M22)),"-")</f>
        <v>641.388195</v>
      </c>
      <c r="Q22" s="163">
        <f t="shared" si="2"/>
        <v>641.388195</v>
      </c>
      <c r="R22" s="281"/>
      <c r="S22" s="165" cm="1">
        <f t="array" ref="S22">IF(R22&lt;&gt;"",_xll.BDP($B22,S$10,$I$10,$L22,$G$10,$H22,$R$10,$R22),_xll.BDP($B22,S$10,$N$10,$O22,$I$10,$L22,$G$10,$H22,$R$10,$R22))</f>
        <v>3.5079365079365079</v>
      </c>
      <c r="T22" s="165" cm="1">
        <f t="array" ref="T22">IF(R22&lt;&gt;"",_xll.BDP($B22,T$10,$I$10,$L22,$G$10,$H22,$R$10,$R22),_xll.BDP($B22,T$10,$N$10,$O22,$I$10,$L22,$G$10,$H22,$R$10,$R22))</f>
        <v>3.0907801976996403</v>
      </c>
      <c r="U22" s="165" cm="1">
        <f t="array" ref="U22">IF(R22&lt;&gt;"",_xll.BDP($B22,U$10,$I$10,$L22,$G$10,$H22,$R$10,$R22),_xll.BDP($B22,U$10,$N$10,$O22,$I$10,$L22,$G$10,$H22,$R$10,$R22))</f>
        <v>0.12276152942749648</v>
      </c>
      <c r="V22" s="165" cm="1">
        <f t="array" ref="V22">IF(R22&lt;&gt;"",_xll.BDP($B22,V$10,$I$10,$L22,$G$10,$H22,$R$10,$R22),_xll.BDP($B22,V$10,$N$10,$O22,$I$10,$L22,$G$10,$H22,$R$10,$R22))</f>
        <v>19.82389932144315</v>
      </c>
      <c r="W22" s="165" cm="1">
        <f t="array" ref="W22">IF($B22="","",_xll.BDH($B22,W$10,_xlfn.SINGLE(_xll.BTODAY())-1,_xlfn.SINGLE(_xll.BTODAY())-1,"pcs","TUNE"))</f>
        <v>14.171200000000001</v>
      </c>
      <c r="X22" s="283" cm="1">
        <f t="array" ref="X22">IF($B22="","",_xll.BDH($B22,X$10,_xlfn.SINGLE(_xll.BTODAY())-1,_xlfn.SINGLE(_xll.BTODAY())-1,"pcs","TUNE"))</f>
        <v>13.171799999999999</v>
      </c>
    </row>
    <row r="23" spans="2:30" x14ac:dyDescent="0.25">
      <c r="B23" s="182" t="s">
        <v>412</v>
      </c>
      <c r="C23" s="150"/>
      <c r="D23" s="154" cm="1">
        <f t="array" ref="D23">_xll.BDP($B23,D$10)*1</f>
        <v>47300</v>
      </c>
      <c r="E23" s="150" t="str" cm="1">
        <f t="array" ref="E23">_xll.BDP($B23,E$10)</f>
        <v>AT MATURITY</v>
      </c>
      <c r="F23" s="150" cm="1">
        <f t="array" ref="F23">_xll.BDP($B23,F$10)</f>
        <v>1000</v>
      </c>
      <c r="G23" s="150" t="str" cm="1">
        <f t="array" ref="G23">_xll.BDP($B23,G$10)</f>
        <v>BVAL</v>
      </c>
      <c r="H23" s="170"/>
      <c r="I23" s="183" cm="1">
        <f t="array" ref="I23">_xll.BDP($B23,I$10)*1</f>
        <v>45842</v>
      </c>
      <c r="J23" s="271">
        <f>IF(K23="",_xll.BADDPERIODS(I23,"CDR=BZ","Per=wd","NumberOfPeriods=-2"),_xll.BADDPERIODS(K23,"CDR=BZ","Per=wd","NumberOfPeriods=-2"))</f>
        <v>45840</v>
      </c>
      <c r="K23" s="279"/>
      <c r="L23" s="158" t="str">
        <f t="shared" si="0"/>
        <v>20250704</v>
      </c>
      <c r="M23" s="159" t="str">
        <f>TEXT(YEAR(_xll.BADDPERIODS(J23,"CDR=BZ","Per=wd","NumberOfPeriods=2"))*10000+MONTH(_xll.BADDPERIODS(J23,"CDR=BZ","Per=wd","NumberOfPeriods=2"))*100+DAY(_xll.BADDPERIODS(J23,"CDR=BZ","Per=wd","NumberOfPeriods=2")),"00000000")</f>
        <v>20250704</v>
      </c>
      <c r="N23" s="185" cm="1">
        <f t="array" ref="N23">IF(OR(UPPER(G23)="ANDE",UPPER(H23)="ANDE"),_xll.BDP($B23,$N$10,$G$10,H23,$R$10,R23,$I$10,M23),_xll.BDP($B23,$N$10,$G$10,H23,$R$10,R23,$I$10,L23))</f>
        <v>13.4308</v>
      </c>
      <c r="O23" s="280"/>
      <c r="P23" s="164" cm="1">
        <f t="array" ref="P23">IF(R23="",IF(O23="",_xll.BDP($B23,P$10,$N$10,$N23,$G$10,$H23,$I$10,$L23),_xll.BDP($B23,P$10,$N$10,$O23,$I$10,$M23)),"-")</f>
        <v>606.77921800000001</v>
      </c>
      <c r="Q23" s="163">
        <f t="shared" si="2"/>
        <v>606.77921800000001</v>
      </c>
      <c r="R23" s="281"/>
      <c r="S23" s="165" cm="1">
        <f t="array" ref="S23">IF(R23&lt;&gt;"",_xll.BDP($B23,S$10,$I$10,$L23,$G$10,$H23,$R$10,$R23),_xll.BDP($B23,S$10,$N$10,$O23,$I$10,$L23,$G$10,$H23,$R$10,$R23))</f>
        <v>3.9642857142857144</v>
      </c>
      <c r="T23" s="165" cm="1">
        <f t="array" ref="T23">IF(R23&lt;&gt;"",_xll.BDP($B23,T$10,$I$10,$L23,$G$10,$H23,$R$10,$R23),_xll.BDP($B23,T$10,$N$10,$O23,$I$10,$L23,$G$10,$H23,$R$10,$R23))</f>
        <v>3.4948933564672506</v>
      </c>
      <c r="U23" s="165" cm="1">
        <f t="array" ref="U23">IF(R23&lt;&gt;"",_xll.BDP($B23,U$10,$I$10,$L23,$G$10,$H23,$R$10,$R23),_xll.BDP($B23,U$10,$N$10,$O23,$I$10,$L23,$G$10,$H23,$R$10,$R23))</f>
        <v>0.15295358351092742</v>
      </c>
      <c r="V23" s="165" cm="1">
        <f t="array" ref="V23">IF(R23&lt;&gt;"",_xll.BDP($B23,V$10,$I$10,$L23,$G$10,$H23,$R$10,$R23),_xll.BDP($B23,V$10,$N$10,$O23,$I$10,$L23,$G$10,$H23,$R$10,$R23))</f>
        <v>21.206278679846946</v>
      </c>
      <c r="W23" s="165" t="str" cm="1">
        <f t="array" ref="W23">IF($B23="","",_xll.BDH($B23,W$10,_xlfn.SINGLE(_xll.BTODAY())-1,_xlfn.SINGLE(_xll.BTODAY())-1,"pcs","TUNE"))</f>
        <v>#N/A N/A</v>
      </c>
      <c r="X23" s="283" t="str" cm="1">
        <f t="array" ref="X23">IF($B23="","",_xll.BDH($B23,X$10,_xlfn.SINGLE(_xll.BTODAY())-1,_xlfn.SINGLE(_xll.BTODAY())-1,"pcs","TUNE"))</f>
        <v>#N/A N/A</v>
      </c>
    </row>
    <row r="24" spans="2:30" x14ac:dyDescent="0.25">
      <c r="B24" s="182" t="s">
        <v>413</v>
      </c>
      <c r="C24" s="150"/>
      <c r="D24" s="154" cm="1">
        <f t="array" ref="D24">_xll.BDP($B24,D$10)*1</f>
        <v>47484</v>
      </c>
      <c r="E24" s="150" t="str" cm="1">
        <f t="array" ref="E24">_xll.BDP($B24,E$10)</f>
        <v>AT MATURITY</v>
      </c>
      <c r="F24" s="150" cm="1">
        <f t="array" ref="F24">_xll.BDP($B24,F$10)</f>
        <v>1000</v>
      </c>
      <c r="G24" s="150" t="str" cm="1">
        <f t="array" ref="G24">_xll.BDP($B24,G$10)</f>
        <v>ANDI</v>
      </c>
      <c r="H24" s="170"/>
      <c r="I24" s="183" cm="1">
        <f t="array" ref="I24">_xll.BDP($B24,I$10)*1</f>
        <v>45831</v>
      </c>
      <c r="J24" s="271">
        <f>IF(K24="",_xll.BADDPERIODS(I24,"CDR=BZ","Per=wd","NumberOfPeriods=-2"),_xll.BADDPERIODS(K24,"CDR=BZ","Per=wd","NumberOfPeriods=-2"))</f>
        <v>45826</v>
      </c>
      <c r="K24" s="279"/>
      <c r="L24" s="158" t="str">
        <f t="shared" si="0"/>
        <v>20250623</v>
      </c>
      <c r="M24" s="159" t="str">
        <f>TEXT(YEAR(_xll.BADDPERIODS(J24,"CDR=BZ","Per=wd","NumberOfPeriods=2"))*10000+MONTH(_xll.BADDPERIODS(J24,"CDR=BZ","Per=wd","NumberOfPeriods=2"))*100+DAY(_xll.BADDPERIODS(J24,"CDR=BZ","Per=wd","NumberOfPeriods=2")),"00000000")</f>
        <v>20250623</v>
      </c>
      <c r="N24" s="185" cm="1">
        <f t="array" ref="N24">IF(OR(UPPER(G24)="ANDE",UPPER(H24)="ANDE"),_xll.BDP($B24,$N$10,$G$10,H24,$R$10,R24,$I$10,M24),_xll.BDP($B24,$N$10,$G$10,H24,$R$10,R24,$I$10,L24))</f>
        <v>13.554399999999999</v>
      </c>
      <c r="O24" s="280"/>
      <c r="P24" s="164" cm="1">
        <f t="array" ref="P24">IF(R24="",IF(O24="",_xll.BDP($B24,P$10,$N$10,$N24,$G$10,$H24,$I$10,$L24),_xll.BDP($B24,P$10,$N$10,$O24,$I$10,$M24)),"-")</f>
        <v>564.67844700000001</v>
      </c>
      <c r="Q24" s="163">
        <f t="shared" si="2"/>
        <v>564.67844700000001</v>
      </c>
      <c r="R24" s="281"/>
      <c r="S24" s="165" cm="1">
        <f t="array" ref="S24">IF(R24&lt;&gt;"",_xll.BDP($B24,S$10,$I$10,$L24,$G$10,$H24,$R$10,$R24),_xll.BDP($B24,S$10,$N$10,$O24,$I$10,$L24,$G$10,$H24,$R$10,$R24))</f>
        <v>4.496031746031746</v>
      </c>
      <c r="T24" s="165" cm="1">
        <f t="array" ref="T24">IF(R24&lt;&gt;"",_xll.BDP($B24,T$10,$I$10,$L24,$G$10,$H24,$R$10,$R24),_xll.BDP($B24,T$10,$N$10,$O24,$I$10,$L24,$G$10,$H24,$R$10,$R24))</f>
        <v>3.9593639277373254</v>
      </c>
      <c r="U24" s="165" cm="1">
        <f t="array" ref="U24">IF(R24&lt;&gt;"",_xll.BDP($B24,U$10,$I$10,$L24,$G$10,$H24,$R$10,$R24),_xll.BDP($B24,U$10,$N$10,$O24,$I$10,$L24,$G$10,$H24,$R$10,$R24))</f>
        <v>0.1916331686205259</v>
      </c>
      <c r="V24" s="165" cm="1">
        <f t="array" ref="V24">IF(R24&lt;&gt;"",_xll.BDP($B24,V$10,$I$10,$L24,$G$10,$H24,$R$10,$R24),_xll.BDP($B24,V$10,$N$10,$O24,$I$10,$L24,$G$10,$H24,$R$10,$R24))</f>
        <v>22.357674738225342</v>
      </c>
      <c r="W24" s="165" cm="1">
        <f t="array" ref="W24">IF($B24="","",_xll.BDH($B24,W$10,_xlfn.SINGLE(_xll.BTODAY())-1,_xlfn.SINGLE(_xll.BTODAY())-1,"pcs","TUNE"))</f>
        <v>14.2493</v>
      </c>
      <c r="X24" s="283" cm="1">
        <f t="array" ref="X24">IF($B24="","",_xll.BDH($B24,X$10,_xlfn.SINGLE(_xll.BTODAY())-1,_xlfn.SINGLE(_xll.BTODAY())-1,"pcs","TUNE"))</f>
        <v>13.2742</v>
      </c>
    </row>
    <row r="25" spans="2:30" x14ac:dyDescent="0.25">
      <c r="B25" s="194" t="s">
        <v>414</v>
      </c>
      <c r="C25" s="195"/>
      <c r="D25" s="199" cm="1">
        <f t="array" ref="D25">_xll.BDP($B25,D$10)*1</f>
        <v>48214</v>
      </c>
      <c r="E25" s="195" t="str" cm="1">
        <f t="array" ref="E25">_xll.BDP($B25,E$10)</f>
        <v>AT MATURITY</v>
      </c>
      <c r="F25" s="195" cm="1">
        <f t="array" ref="F25">_xll.BDP($B25,F$10)</f>
        <v>1000</v>
      </c>
      <c r="G25" s="195" t="str" cm="1">
        <f t="array" ref="G25">_xll.BDP($B25,G$10)</f>
        <v>ANDI</v>
      </c>
      <c r="H25" s="200"/>
      <c r="I25" s="201" cm="1">
        <f t="array" ref="I25">_xll.BDP($B25,I$10)*1</f>
        <v>45831</v>
      </c>
      <c r="J25" s="274">
        <f>IF(K25="",_xll.BADDPERIODS(I25,"CDR=BZ","Per=wd","NumberOfPeriods=-2"),_xll.BADDPERIODS(K25,"CDR=BZ","Per=wd","NumberOfPeriods=-2"))</f>
        <v>45826</v>
      </c>
      <c r="K25" s="284"/>
      <c r="L25" s="203" t="str">
        <f t="shared" si="0"/>
        <v>20250623</v>
      </c>
      <c r="M25" s="204" t="str">
        <f>TEXT(YEAR(_xll.BADDPERIODS(J25,"CDR=BZ","Per=wd","NumberOfPeriods=2"))*10000+MONTH(_xll.BADDPERIODS(J25,"CDR=BZ","Per=wd","NumberOfPeriods=2"))*100+DAY(_xll.BADDPERIODS(J25,"CDR=BZ","Per=wd","NumberOfPeriods=2")),"00000000")</f>
        <v>20250623</v>
      </c>
      <c r="N25" s="206" cm="1">
        <f t="array" ref="N25">IF(OR(UPPER(G25)="ANDE",UPPER(H25)="ANDE"),_xll.BDP($B25,$N$10,$G$10,H25,$R$10,R25,$I$10,M25),_xll.BDP($B25,$N$10,$G$10,H25,$R$10,R25,$I$10,L25))</f>
        <v>13.699199999999999</v>
      </c>
      <c r="O25" s="285"/>
      <c r="P25" s="224" cm="1">
        <f t="array" ref="P25">IF(R25="",IF(O25="",_xll.BDP($B25,P$10,$N$10,$N25,$G$10,$H25,$I$10,$L25),_xll.BDP($B25,P$10,$N$10,$O25,$I$10,$M25)),"-")</f>
        <v>434.30827199999999</v>
      </c>
      <c r="Q25" s="208">
        <f t="shared" si="2"/>
        <v>434.30827199999999</v>
      </c>
      <c r="R25" s="286"/>
      <c r="S25" s="225" cm="1">
        <f t="array" ref="S25">IF(R25&lt;&gt;"",_xll.BDP($B25,S$10,$I$10,$L25,$G$10,$H25,$R$10,$R25),_xll.BDP($B25,S$10,$N$10,$O25,$I$10,$L25,$G$10,$H25,$R$10,$R25))</f>
        <v>6.496031746031746</v>
      </c>
      <c r="T25" s="225" cm="1">
        <f t="array" ref="T25">IF(R25&lt;&gt;"",_xll.BDP($B25,T$10,$I$10,$L25,$G$10,$H25,$R$10,$R25),_xll.BDP($B25,T$10,$N$10,$O25,$I$10,$L25,$G$10,$H25,$R$10,$R25))</f>
        <v>5.7133491519752733</v>
      </c>
      <c r="U25" s="225" cm="1">
        <f t="array" ref="U25">IF(R25&lt;&gt;"",_xll.BDP($B25,U$10,$I$10,$L25,$G$10,$H25,$R$10,$R25),_xll.BDP($B25,U$10,$N$10,$O25,$I$10,$L25,$G$10,$H25,$R$10,$R25))</f>
        <v>0.37667323359612154</v>
      </c>
      <c r="V25" s="225" cm="1">
        <f t="array" ref="V25">IF(R25&lt;&gt;"",_xll.BDP($B25,V$10,$I$10,$L25,$G$10,$H25,$R$10,$R25),_xll.BDP($B25,V$10,$N$10,$O25,$I$10,$L25,$G$10,$H25,$R$10,$R25))</f>
        <v>24.813547975270467</v>
      </c>
      <c r="W25" s="225" cm="1">
        <f t="array" ref="W25">IF($B25="","",_xll.BDH($B25,W$10,_xlfn.SINGLE(_xll.BTODAY())-1,_xlfn.SINGLE(_xll.BTODAY())-1,"pcs","TUNE"))</f>
        <v>14.404</v>
      </c>
      <c r="X25" s="288" cm="1">
        <f t="array" ref="X25">IF($B25="","",_xll.BDH($B25,X$10,_xlfn.SINGLE(_xll.BTODAY())-1,_xlfn.SINGLE(_xll.BTODAY())-1,"pcs","TUNE"))</f>
        <v>13.414400000000001</v>
      </c>
    </row>
    <row r="32" spans="2:30" x14ac:dyDescent="0.25">
      <c r="AD32" s="289"/>
    </row>
  </sheetData>
  <mergeCells count="4">
    <mergeCell ref="D8:F8"/>
    <mergeCell ref="G8:R8"/>
    <mergeCell ref="S8:V8"/>
    <mergeCell ref="W8:X8"/>
  </mergeCells>
  <conditionalFormatting sqref="B25:C25">
    <cfRule type="expression" dxfId="34" priority="29">
      <formula>$B25=""</formula>
    </cfRule>
  </conditionalFormatting>
  <conditionalFormatting sqref="D25:F25">
    <cfRule type="expression" dxfId="33" priority="28">
      <formula>$B25=""</formula>
    </cfRule>
  </conditionalFormatting>
  <conditionalFormatting sqref="H25">
    <cfRule type="expression" dxfId="32" priority="27">
      <formula>$B25=""</formula>
    </cfRule>
  </conditionalFormatting>
  <conditionalFormatting sqref="R25 N25:P25">
    <cfRule type="expression" dxfId="31" priority="26">
      <formula>$B25=""</formula>
    </cfRule>
  </conditionalFormatting>
  <conditionalFormatting sqref="Q25">
    <cfRule type="expression" dxfId="30" priority="24">
      <formula>$B25=""</formula>
    </cfRule>
  </conditionalFormatting>
  <conditionalFormatting sqref="S25:V25">
    <cfRule type="expression" dxfId="29" priority="23">
      <formula>$B25=""</formula>
    </cfRule>
  </conditionalFormatting>
  <conditionalFormatting sqref="I25">
    <cfRule type="expression" dxfId="28" priority="20">
      <formula>$B25=""</formula>
    </cfRule>
  </conditionalFormatting>
  <conditionalFormatting sqref="K25">
    <cfRule type="expression" dxfId="27" priority="21">
      <formula>$B25=""</formula>
    </cfRule>
  </conditionalFormatting>
  <conditionalFormatting sqref="M25">
    <cfRule type="expression" dxfId="26" priority="17">
      <formula>$B25=""</formula>
    </cfRule>
  </conditionalFormatting>
  <conditionalFormatting sqref="W25:X25">
    <cfRule type="expression" dxfId="25" priority="16">
      <formula>$B25=""</formula>
    </cfRule>
  </conditionalFormatting>
  <conditionalFormatting sqref="B11:C24">
    <cfRule type="expression" dxfId="24" priority="15">
      <formula>$B11=""</formula>
    </cfRule>
  </conditionalFormatting>
  <conditionalFormatting sqref="G25">
    <cfRule type="expression" dxfId="23" priority="25">
      <formula>$B25=""</formula>
    </cfRule>
  </conditionalFormatting>
  <conditionalFormatting sqref="L25">
    <cfRule type="expression" dxfId="22" priority="22">
      <formula>$B25=""</formula>
    </cfRule>
  </conditionalFormatting>
  <conditionalFormatting sqref="O25">
    <cfRule type="expression" dxfId="21" priority="19" stopIfTrue="1">
      <formula>$R25&lt;&gt;""</formula>
    </cfRule>
  </conditionalFormatting>
  <conditionalFormatting sqref="J25">
    <cfRule type="expression" dxfId="20" priority="18">
      <formula>$B25=""</formula>
    </cfRule>
  </conditionalFormatting>
  <conditionalFormatting sqref="D11:F24">
    <cfRule type="expression" dxfId="19" priority="14">
      <formula>$B11=""</formula>
    </cfRule>
  </conditionalFormatting>
  <conditionalFormatting sqref="H11:H24">
    <cfRule type="expression" dxfId="18" priority="13">
      <formula>$B11=""</formula>
    </cfRule>
  </conditionalFormatting>
  <conditionalFormatting sqref="R11:R24 N11:P24">
    <cfRule type="expression" dxfId="17" priority="12">
      <formula>$B11=""</formula>
    </cfRule>
  </conditionalFormatting>
  <conditionalFormatting sqref="G11:G24">
    <cfRule type="expression" dxfId="16" priority="11">
      <formula>$B11=""</formula>
    </cfRule>
  </conditionalFormatting>
  <conditionalFormatting sqref="Q11:Q24">
    <cfRule type="expression" dxfId="15" priority="10">
      <formula>$B11=""</formula>
    </cfRule>
  </conditionalFormatting>
  <conditionalFormatting sqref="S11:V24">
    <cfRule type="expression" dxfId="14" priority="9">
      <formula>$B11=""</formula>
    </cfRule>
  </conditionalFormatting>
  <conditionalFormatting sqref="K11:K24">
    <cfRule type="expression" dxfId="13" priority="7">
      <formula>$B11=""</formula>
    </cfRule>
  </conditionalFormatting>
  <conditionalFormatting sqref="L11:L24">
    <cfRule type="expression" dxfId="12" priority="8">
      <formula>$B11=""</formula>
    </cfRule>
  </conditionalFormatting>
  <conditionalFormatting sqref="I11:I24">
    <cfRule type="expression" dxfId="11" priority="6">
      <formula>$B11=""</formula>
    </cfRule>
  </conditionalFormatting>
  <conditionalFormatting sqref="O11:O24">
    <cfRule type="expression" dxfId="10" priority="5" stopIfTrue="1">
      <formula>$R11&lt;&gt;""</formula>
    </cfRule>
  </conditionalFormatting>
  <conditionalFormatting sqref="J11:J24">
    <cfRule type="expression" dxfId="9" priority="4">
      <formula>$B11=""</formula>
    </cfRule>
  </conditionalFormatting>
  <conditionalFormatting sqref="M11:M24">
    <cfRule type="expression" dxfId="8" priority="3">
      <formula>$B11=""</formula>
    </cfRule>
  </conditionalFormatting>
  <conditionalFormatting sqref="W11:X24">
    <cfRule type="expression" dxfId="7" priority="2">
      <formula>$B11=""</formula>
    </cfRule>
  </conditionalFormatting>
  <conditionalFormatting sqref="C8">
    <cfRule type="expression" dxfId="6" priority="1">
      <formula>$B8=""</formula>
    </cfRule>
  </conditionalFormatting>
  <dataValidations count="1">
    <dataValidation type="list" allowBlank="1" showInputMessage="1" showErrorMessage="1" sqref="C8" xr:uid="{00000000-0002-0000-0600-000000000000}">
      <formula1>"BID,ASK"</formula1>
    </dataValidation>
  </dataValidations>
  <pageMargins left="0.7" right="0.7" top="0.75" bottom="0.75" header="0.3" footer="0.3"/>
  <pageSetup orientation="portrait" r:id="rId1"/>
  <ignoredErrors>
    <ignoredError sqref="J24:J25 N26" evalError="1"/>
  </ignoredError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B1:AU160"/>
  <sheetViews>
    <sheetView showGridLines="0" showRowColHeaders="0" zoomScale="85" zoomScaleNormal="85" workbookViewId="0">
      <pane ySplit="5" topLeftCell="A6" activePane="bottomLeft" state="frozen"/>
      <selection pane="bottomLeft" activeCell="F58" sqref="F58"/>
    </sheetView>
  </sheetViews>
  <sheetFormatPr defaultRowHeight="12.75" x14ac:dyDescent="0.2"/>
  <cols>
    <col min="1" max="1" width="1.5703125" style="1" customWidth="1"/>
    <col min="2" max="2" width="19.5703125" style="1" customWidth="1"/>
    <col min="3" max="3" width="13" style="1" customWidth="1"/>
    <col min="4" max="4" width="22.85546875" style="1" customWidth="1"/>
    <col min="5" max="5" width="26.5703125" style="1" customWidth="1"/>
    <col min="6" max="6" width="18.7109375" style="2" customWidth="1"/>
    <col min="7" max="7" width="22" style="2" customWidth="1"/>
    <col min="8" max="8" width="25.5703125" style="2" customWidth="1"/>
    <col min="9" max="10" width="21.140625" style="2" hidden="1" customWidth="1"/>
    <col min="11" max="11" width="15.85546875" style="2" customWidth="1"/>
    <col min="12" max="12" width="15.7109375" style="2" customWidth="1"/>
    <col min="13" max="13" width="15.85546875" style="2" hidden="1" customWidth="1"/>
    <col min="14" max="14" width="16.5703125" style="2" customWidth="1"/>
    <col min="15" max="15" width="15.7109375" style="1" customWidth="1"/>
    <col min="16" max="16" width="16.5703125" style="2" hidden="1" customWidth="1"/>
    <col min="17" max="17" width="11.28515625" style="1" customWidth="1"/>
    <col min="18" max="18" width="15.7109375" style="1" customWidth="1"/>
    <col min="19" max="19" width="11.28515625" style="1" hidden="1" customWidth="1"/>
    <col min="20" max="20" width="17.7109375" style="1" hidden="1" customWidth="1"/>
    <col min="21" max="21" width="11.28515625" style="1" hidden="1" customWidth="1"/>
    <col min="22" max="23" width="15.42578125" style="1" customWidth="1"/>
    <col min="24" max="24" width="13" style="1" customWidth="1"/>
    <col min="25" max="25" width="14.7109375" style="1" customWidth="1"/>
    <col min="26" max="27" width="13" style="1" customWidth="1"/>
    <col min="28" max="28" width="15.85546875" style="1" customWidth="1"/>
    <col min="29" max="29" width="15.85546875" style="1" hidden="1" customWidth="1"/>
    <col min="30" max="30" width="15.42578125" style="1" customWidth="1"/>
    <col min="31" max="31" width="17.42578125" style="1" customWidth="1"/>
    <col min="32" max="32" width="8.5703125" style="1" customWidth="1"/>
    <col min="33" max="33" width="14.85546875" style="1" hidden="1" customWidth="1"/>
    <col min="34" max="34" width="18.85546875" style="1" hidden="1" customWidth="1"/>
    <col min="35" max="35" width="21.42578125" style="1" hidden="1" customWidth="1"/>
    <col min="36" max="36" width="18.5703125" style="1" customWidth="1"/>
    <col min="37" max="37" width="19" style="1" customWidth="1"/>
    <col min="38" max="38" width="21" style="1" customWidth="1"/>
    <col min="39" max="40" width="19" style="1" customWidth="1"/>
    <col min="41" max="41" width="27.5703125" style="1" customWidth="1"/>
    <col min="42" max="42" width="23.5703125" style="1" customWidth="1"/>
    <col min="43" max="43" width="24.140625" style="1" customWidth="1"/>
    <col min="44" max="46" width="11.42578125" style="1" customWidth="1"/>
    <col min="47" max="47" width="139.7109375" style="1" customWidth="1"/>
    <col min="48" max="48" width="9.140625" style="1"/>
    <col min="49" max="49" width="14.5703125" style="1" customWidth="1"/>
    <col min="50" max="50" width="10.42578125" style="1" bestFit="1" customWidth="1"/>
    <col min="51" max="16384" width="9.140625" style="1"/>
  </cols>
  <sheetData>
    <row r="1" spans="2:47" ht="5.0999999999999996" customHeight="1" x14ac:dyDescent="0.2"/>
    <row r="2" spans="2:47" ht="15" customHeight="1" x14ac:dyDescent="0.2"/>
    <row r="3" spans="2:47" ht="15" customHeight="1" x14ac:dyDescent="0.2"/>
    <row r="4" spans="2:47" ht="15" customHeight="1" x14ac:dyDescent="0.2"/>
    <row r="5" spans="2:47" ht="5.0999999999999996" customHeight="1" x14ac:dyDescent="0.2"/>
    <row r="6" spans="2:47" ht="15" x14ac:dyDescent="0.2">
      <c r="B6" s="250" t="s">
        <v>9</v>
      </c>
      <c r="C6" s="251" t="s">
        <v>195</v>
      </c>
      <c r="D6" s="3"/>
      <c r="AI6" s="1" t="b">
        <v>0</v>
      </c>
    </row>
    <row r="7" spans="2:47" customFormat="1" ht="15" x14ac:dyDescent="0.25">
      <c r="B7" s="265"/>
      <c r="C7" s="265"/>
      <c r="F7" s="266"/>
      <c r="G7" s="107" t="s">
        <v>150</v>
      </c>
      <c r="H7" s="264" t="s">
        <v>148</v>
      </c>
      <c r="I7" s="267"/>
      <c r="J7" s="267"/>
      <c r="K7" s="325" t="s">
        <v>26</v>
      </c>
      <c r="L7" s="325"/>
      <c r="M7" s="325"/>
      <c r="N7" s="325"/>
      <c r="O7" s="325"/>
      <c r="P7" s="325"/>
      <c r="Q7" s="325"/>
      <c r="R7" s="325"/>
      <c r="S7" s="325"/>
      <c r="T7" s="325"/>
      <c r="U7" s="325"/>
      <c r="V7" s="325"/>
      <c r="W7" s="325"/>
      <c r="X7" s="325" t="s">
        <v>18</v>
      </c>
      <c r="Y7" s="325"/>
      <c r="Z7" s="325"/>
      <c r="AA7" s="326"/>
      <c r="AB7" s="325" t="s">
        <v>4</v>
      </c>
      <c r="AC7" s="325"/>
      <c r="AD7" s="326"/>
      <c r="AE7" s="325" t="s">
        <v>203</v>
      </c>
      <c r="AF7" s="325"/>
      <c r="AG7" s="325"/>
      <c r="AH7" s="325"/>
      <c r="AI7" s="325"/>
      <c r="AJ7" s="325"/>
      <c r="AK7" s="325"/>
      <c r="AL7" s="325"/>
      <c r="AM7" s="325"/>
      <c r="AN7" s="325"/>
      <c r="AO7" s="326"/>
      <c r="AP7" s="325" t="s">
        <v>198</v>
      </c>
      <c r="AQ7" s="326"/>
      <c r="AR7" s="325" t="s">
        <v>242</v>
      </c>
      <c r="AS7" s="325"/>
      <c r="AT7" s="326"/>
      <c r="AU7" s="53"/>
    </row>
    <row r="8" spans="2:47" ht="15.75" customHeight="1" x14ac:dyDescent="0.2">
      <c r="B8" s="107" t="s">
        <v>169</v>
      </c>
      <c r="C8" s="52" t="s">
        <v>187</v>
      </c>
      <c r="D8" s="52" t="s">
        <v>184</v>
      </c>
      <c r="E8" s="52" t="s">
        <v>185</v>
      </c>
      <c r="F8" s="52" t="s">
        <v>181</v>
      </c>
      <c r="G8" s="30" t="s">
        <v>183</v>
      </c>
      <c r="H8" s="142" t="s">
        <v>182</v>
      </c>
      <c r="I8" s="30" t="s">
        <v>212</v>
      </c>
      <c r="J8" s="30" t="s">
        <v>213</v>
      </c>
      <c r="K8" s="142" t="s">
        <v>7</v>
      </c>
      <c r="L8" s="142" t="s">
        <v>7</v>
      </c>
      <c r="M8" s="142" t="s">
        <v>7</v>
      </c>
      <c r="N8" s="142" t="s">
        <v>190</v>
      </c>
      <c r="O8" s="142" t="s">
        <v>191</v>
      </c>
      <c r="P8" s="142" t="s">
        <v>189</v>
      </c>
      <c r="Q8" s="142" t="s">
        <v>192</v>
      </c>
      <c r="R8" s="142" t="s">
        <v>193</v>
      </c>
      <c r="S8" s="142" t="s">
        <v>194</v>
      </c>
      <c r="T8" s="142" t="s">
        <v>244</v>
      </c>
      <c r="U8" s="142" t="s">
        <v>245</v>
      </c>
      <c r="V8" s="142" t="s">
        <v>211</v>
      </c>
      <c r="W8" s="142" t="s">
        <v>214</v>
      </c>
      <c r="X8" s="142" t="s">
        <v>180</v>
      </c>
      <c r="Y8" s="142" t="s">
        <v>179</v>
      </c>
      <c r="Z8" s="142" t="s">
        <v>15</v>
      </c>
      <c r="AA8" s="142" t="s">
        <v>27</v>
      </c>
      <c r="AB8" s="142" t="s">
        <v>201</v>
      </c>
      <c r="AC8" s="142" t="s">
        <v>188</v>
      </c>
      <c r="AD8" s="142" t="s">
        <v>202</v>
      </c>
      <c r="AE8" s="142" t="s">
        <v>246</v>
      </c>
      <c r="AF8" s="142" t="s">
        <v>11</v>
      </c>
      <c r="AG8" s="142" t="s">
        <v>249</v>
      </c>
      <c r="AH8" s="142" t="s">
        <v>209</v>
      </c>
      <c r="AI8" s="142" t="s">
        <v>210</v>
      </c>
      <c r="AJ8" s="142" t="s">
        <v>208</v>
      </c>
      <c r="AK8" s="142" t="s">
        <v>178</v>
      </c>
      <c r="AL8" s="142" t="s">
        <v>177</v>
      </c>
      <c r="AM8" s="142" t="s">
        <v>176</v>
      </c>
      <c r="AN8" s="142" t="s">
        <v>175</v>
      </c>
      <c r="AO8" s="142" t="s">
        <v>174</v>
      </c>
      <c r="AP8" s="142" t="s">
        <v>199</v>
      </c>
      <c r="AQ8" s="142" t="s">
        <v>200</v>
      </c>
      <c r="AR8" s="142" t="s">
        <v>173</v>
      </c>
      <c r="AS8" s="142" t="s">
        <v>172</v>
      </c>
      <c r="AT8" s="142" t="s">
        <v>171</v>
      </c>
      <c r="AU8" s="226" t="s">
        <v>170</v>
      </c>
    </row>
    <row r="9" spans="2:47" s="4" customFormat="1" ht="15" hidden="1" x14ac:dyDescent="0.25">
      <c r="B9" s="227" t="s">
        <v>169</v>
      </c>
      <c r="C9" s="228" t="s">
        <v>186</v>
      </c>
      <c r="D9" s="228" t="s">
        <v>168</v>
      </c>
      <c r="E9" s="228" t="s">
        <v>10</v>
      </c>
      <c r="F9" s="229" t="s">
        <v>165</v>
      </c>
      <c r="G9" s="229" t="s">
        <v>167</v>
      </c>
      <c r="H9" s="229" t="s">
        <v>166</v>
      </c>
      <c r="I9" s="229"/>
      <c r="J9" s="229"/>
      <c r="K9" s="229" t="s">
        <v>56</v>
      </c>
      <c r="L9" s="229"/>
      <c r="M9" s="229" t="s">
        <v>56</v>
      </c>
      <c r="N9" s="229" t="str">
        <f>"PX "&amp;H7</f>
        <v>PX BID</v>
      </c>
      <c r="O9" s="228"/>
      <c r="P9" s="229"/>
      <c r="Q9" s="229" t="str">
        <f>"YLD YTM "&amp;H7</f>
        <v>YLD YTM BID</v>
      </c>
      <c r="R9" s="228"/>
      <c r="S9" s="229"/>
      <c r="T9" s="229"/>
      <c r="U9" s="229"/>
      <c r="V9" s="229"/>
      <c r="W9" s="229"/>
      <c r="X9" s="229" t="str">
        <f>"DUR_"&amp;H7</f>
        <v>DUR_BID</v>
      </c>
      <c r="Y9" s="229" t="str">
        <f>"DUR_ADJ_"&amp;H7</f>
        <v>DUR_ADJ_BID</v>
      </c>
      <c r="Z9" s="229" t="str">
        <f>"CNVX_"&amp;H7</f>
        <v>CNVX_BID</v>
      </c>
      <c r="AA9" s="229" t="str">
        <f>"RISK "&amp;H7</f>
        <v>RISK BID</v>
      </c>
      <c r="AB9" s="229" t="s">
        <v>65</v>
      </c>
      <c r="AC9" s="229"/>
      <c r="AD9" s="229" t="s">
        <v>164</v>
      </c>
      <c r="AE9" s="229"/>
      <c r="AF9" s="229" t="s">
        <v>163</v>
      </c>
      <c r="AG9" s="229"/>
      <c r="AH9" s="230"/>
      <c r="AI9" s="230"/>
      <c r="AJ9" s="229"/>
      <c r="AK9" s="229" t="s">
        <v>162</v>
      </c>
      <c r="AL9" s="229" t="s">
        <v>161</v>
      </c>
      <c r="AM9" s="229" t="s">
        <v>160</v>
      </c>
      <c r="AN9" s="229" t="s">
        <v>159</v>
      </c>
      <c r="AO9" s="229" t="s">
        <v>158</v>
      </c>
      <c r="AP9" s="229" t="s">
        <v>157</v>
      </c>
      <c r="AQ9" s="229" t="s">
        <v>156</v>
      </c>
      <c r="AR9" s="229" t="s">
        <v>243</v>
      </c>
      <c r="AS9" s="229" t="s">
        <v>241</v>
      </c>
      <c r="AT9" s="229" t="s">
        <v>155</v>
      </c>
      <c r="AU9" s="231" t="s">
        <v>154</v>
      </c>
    </row>
    <row r="10" spans="2:47" s="4" customFormat="1" ht="15" hidden="1" x14ac:dyDescent="0.25">
      <c r="B10" s="227"/>
      <c r="C10" s="228"/>
      <c r="D10" s="228"/>
      <c r="E10" s="228"/>
      <c r="F10" s="229"/>
      <c r="G10" s="229"/>
      <c r="H10" s="229"/>
      <c r="I10" s="229"/>
      <c r="J10" s="229"/>
      <c r="K10" s="229"/>
      <c r="L10" s="229"/>
      <c r="M10" s="229"/>
      <c r="N10" s="229"/>
      <c r="O10" s="228"/>
      <c r="P10" s="229"/>
      <c r="Q10" s="229" t="str">
        <f>"YLD_AVL_TO_PAR_"&amp;H7</f>
        <v>YLD_AVL_TO_PAR_BID</v>
      </c>
      <c r="R10" s="229"/>
      <c r="S10" s="229"/>
      <c r="T10" s="229"/>
      <c r="U10" s="229"/>
      <c r="V10" s="229"/>
      <c r="W10" s="229"/>
      <c r="X10" s="229"/>
      <c r="Y10" s="229"/>
      <c r="Z10" s="229"/>
      <c r="AA10" s="229"/>
      <c r="AB10" s="229"/>
      <c r="AC10" s="229"/>
      <c r="AD10" s="229"/>
      <c r="AE10" s="229"/>
      <c r="AF10" s="229"/>
      <c r="AG10" s="229"/>
      <c r="AH10" s="230"/>
      <c r="AI10" s="230"/>
      <c r="AJ10" s="229"/>
      <c r="AK10" s="229"/>
      <c r="AL10" s="229"/>
      <c r="AM10" s="229"/>
      <c r="AN10" s="229"/>
      <c r="AO10" s="229"/>
      <c r="AP10" s="229"/>
      <c r="AQ10" s="229"/>
      <c r="AR10" s="229"/>
      <c r="AS10" s="229"/>
      <c r="AT10" s="229"/>
      <c r="AU10" s="231"/>
    </row>
    <row r="11" spans="2:47" ht="15" x14ac:dyDescent="0.25">
      <c r="B11" s="232" t="s">
        <v>334</v>
      </c>
      <c r="C11" s="150" t="str" cm="1">
        <f t="array" ref="C11">IF(B11="","",_xll.BDP($B11,C$9,"fill=b"))</f>
        <v>CYRE22</v>
      </c>
      <c r="D11" s="150" t="str" cm="1">
        <f t="array" ref="D11">IF(B11="","",_xll.BDP($B11,D$9,"fill=b"))</f>
        <v>CYRBZ Float 01/05/18</v>
      </c>
      <c r="E11" s="150" t="str" cm="1">
        <f t="array" ref="E11">IF(B11="","",_xll.BDP($B11,E$9,"fill=b"))</f>
        <v>BRAZIL REALTY</v>
      </c>
      <c r="F11" s="150" t="str" cm="1">
        <f t="array" ref="F11">IF(B11="","",IF(LEFT(_xlfn.SINGLE(_xll.BDP($B11,F$9,"fill=b")),1)="#","-",_xll.BDP($B11,F$9,"fill=b")))</f>
        <v>CYRE3 BZ</v>
      </c>
      <c r="G11" s="150" t="str" cm="1">
        <f t="array" ref="G11">IF(B11="","",_xll.BDP($B11,G$9,"fill=b"))</f>
        <v>BRAZIL DI+SPREAD</v>
      </c>
      <c r="H11" s="150" t="str" cm="1">
        <f t="array" ref="H11">IF(B11="","",_xll.BDP($B11,H$9,"fill=b"))</f>
        <v>OVRA BZDI +65.000</v>
      </c>
      <c r="I11" s="150" t="str" cm="1">
        <f t="array" ref="I11">IF(LEFT(_xlfn.SINGLE(_xll.BDP(B11,"REFERENCE_INDEX")),1)="#",IF(LEFT(_xlfn.SINGLE(_xll.BDP(B11, "RESET_IDX"))&amp;" Index",1)="#","",_xlfn.SINGLE(_xll.BDP(B11, "RESET_IDX"))&amp;" Index"),_xll.BDP(B11,"REFERENCE_INDEX"))</f>
        <v>BZDIOVRA Index</v>
      </c>
      <c r="J11" s="150" cm="1">
        <f t="array" ref="J11">IF(I11="BZDIOVRA Index",IF(_xlfn.SINGLE(_xll.BDP(B11,"FLT_SPREAD"))/100=0,_xll.BDP(B11,"FLT_BENCH_MULTIPLIER"),_xlfn.SINGLE(_xll.BDP(B11,"FLT_SPREAD"))/100),"")</f>
        <v>0.65</v>
      </c>
      <c r="K11" s="150" t="str" cm="1">
        <f t="array" ref="K11">IF(B11="","",IF(LEFT(_xlfn.SINGLE(_xll.BDP($B11,K$9,"fill=b")),1)="#","-",_xll.BDP($B11,K$9,"fill=b")))</f>
        <v>-</v>
      </c>
      <c r="L11" s="233"/>
      <c r="M11" s="234" t="e">
        <f>IF(B11="","",IF(L11="",TEXT(YEAR(K11)*10000+MONTH(K11)*100+DAY(K11),"00000000"),TEXT(YEAR(L11)*10000+MONTH(L11)*100+DAY(L11),"00000000")))</f>
        <v>#VALUE!</v>
      </c>
      <c r="N11" s="252" t="e">
        <f>IF(B11="","",IF(R11="",IF(OR(AD11="SINKABLE",AD11="CALL/SINK"),_xll.BDP(B11,$N$9,$M$9,M11,"PRICING SOURCE",$C$6,"FILL=B"),_xll.BDP(B11,$N$9,$M$9,M11,"PRICING SOURCE",$C$6,"FILL=B")),IF(OR(AD11="SINKABLE",AD11="CALL/SINK"),_xll.BDP(B11,$N$9,$Q$10,S11,$M$9,M11,"PRICING SOURCE",$C$6,"FILL=B"),_xll.BDP(B11,$N$9,$Q$9,S11,$M$9,M11,"PRICING SOURCE",$C$6,"FILL=B"))))</f>
        <v>#VALUE!</v>
      </c>
      <c r="O11" s="235"/>
      <c r="P11" s="236" t="e">
        <f>IF(O11="",N11,O11)</f>
        <v>#VALUE!</v>
      </c>
      <c r="Q11" s="166" t="str">
        <f>IF(ISERROR((IF(OR(AD11="SINKABLE",AD11="CALL/SINK"),_xll.BDP($B11,$Q$10,"fill=b","PRICING_SOURCE",$C$6,$AC11,$N$9,$P11,$M$9,$M11),_xll.BDP($B11,Q$9,"fill=b","PRICING_SOURCE",$C$6,$AC11,$N$9,$P11,$M$9,$M11)))*1),"",IF(OR(AD11="SINKABLE",AD11="CALL/SINK"),_xll.BDP($B11,$Q$10,"fill=b","PRICING_SOURCE",$C$6,$AC11,$N$9,$P11,$M$9,$M11),_xll.BDP($B11,Q$9,"fill=b","PRICING_SOURCE",$C$6,$AC11,$N$9,$P11,$M$9,$M11)))</f>
        <v/>
      </c>
      <c r="R11" s="237"/>
      <c r="S11" s="238" t="str">
        <f>IF(R11="",Q11,R11)</f>
        <v/>
      </c>
      <c r="T11" s="239" cm="1">
        <f t="array" ref="T11">IF(ISERROR((_xlfn.SINGLE(IF(OR(AD11="SINKABLE",AD11="CALL/SINK"),_xll.BDP($B11,$Q$10,"fill=b","PRICING_SOURCE",$C$6,$AC11,$M$9,$U11,"px ask",$AE11),_xll.BDP($B11,Q$9,"fill=b","PRICING_SOURCE",$C$6,$AC11,$M$9,$U11,"px ask",$AE11))))*1),"",IF(OR(AD11="SINKABLE",AD11="CALL/SINK"),_xll.BDP($B11,$Q$10,"fill=b","PRICING_SOURCE",$C$6,$AC11,$M$9,$U11,"px ask",$AE11),_xll.BDP($B11,Q$9,"fill=b","PRICING_SOURCE",$C$6,$AC11,$M$9,$U11,"px ask",$AE11)))</f>
        <v>0.82430407500316083</v>
      </c>
      <c r="U11" s="240" t="str">
        <f t="shared" ref="U11:U42" si="0">IF(B11="","",IF(AG11="",TEXT(YEAR(AN11)*10000+MONTH(AN11)*100+DAY(AN11),"00000000"),TEXT(YEAR(AG11)*10000+MONTH(AG11)*100+DAY(AG11),"00000000")))</f>
        <v>20080208</v>
      </c>
      <c r="V11" s="254" t="e" cm="1">
        <f t="array" ref="V11">IF(B11="","",IF(I11="BZDIOVRA Index",IF(OR(AD11="SINKABLE",AD11="CALL/SINK"),_xll.BDP($B11,"PX_ASK",$Q$10,J11,$M$9,M11),_xll.BDP($B11,"PX_"&amp;$H$7,$Q$9,J11,$M$9,M11)),_xll.BDP($B11,"PX_"&amp;$H$7,$Q$9,_xll.BDP(B11,"CPN"),$M$9,M11)))</f>
        <v>#VALUE!</v>
      </c>
      <c r="W11" s="254" t="str">
        <f t="shared" ref="W11:W42" si="1">IF(ISERROR(P11/V11*100),"",P11/V11*100)</f>
        <v/>
      </c>
      <c r="X11" s="166" t="e">
        <f>IF(B11="","",IF(OR(AD11="SINKABLE",AD11="CALL/SINK"),_xll.BDP($B11,X$9,"fill=b","PRICING_SOURCE",$C$6,$AC11,$M$9,$M11,$N$9,$P11,$Q$10,$S11),_xll.BDP($B11,X$9,"fill=b","PRICING_SOURCE",$C$6,$AC11,$M$9,$M11,$N$9,$P11,$Q$9,$S11)))</f>
        <v>#VALUE!</v>
      </c>
      <c r="Y11" s="166" t="e">
        <f>IF(B11="","",IF(OR(AD11="SINKABLE",AD11="CALL/SINK"),_xll.BDP($B11,Y$9,"fill=b","PRICING_SOURCE",$C$6,$AC11,$M$9,$M11,$N$9,$P11,$Q$10,$S11),_xll.BDP($B11,Y$9,"fill=b","PRICING_SOURCE",$C$6,$AC11,$M$9,$M11,$N$9,$P11,$Q$9,$S11)))</f>
        <v>#VALUE!</v>
      </c>
      <c r="Z11" s="255" t="e">
        <f>IF(B11="","",IF(OR(AD11="SINKABLE",AD11="CALL/SINK"),_xll.BDP($B11,Z$9,"fill=b","PRICING_SOURCE",$C$6,$AC11,$M$9,$M11,$N$9,$P11,$Q$10,$S11),_xll.BDP($B11,Z$9,"fill=b","PRICING_SOURCE",$C$6,$AC11,$M$9,$M11,$N$9,$P11,$Q$9,$S11)))</f>
        <v>#VALUE!</v>
      </c>
      <c r="AA11" s="166" t="e">
        <f>IF(B11="","",IF(OR(AD11="SINKABLE",AD11="CALL/SINK"),_xll.BDP($B11,AA$9,"fill=b","PRICING_SOURCE",$C$6,$AC11,$M$9,$M11,$N$9,$P11,$Q$10,$S11),_xll.BDP($B11,AA$9,"fill=b","PRICING_SOURCE",$C$6,$AC11,$M$9,$M11,$N$9,$P11,$Q$9,$S11)))</f>
        <v>#VALUE!</v>
      </c>
      <c r="AB11" s="150" t="str" cm="1">
        <f t="array" ref="AB11">IF(B11="","",IF(LEFT(_xlfn.SINGLE(_xll.BDP($B11,AB$9,"fill=b")),1)="#","-",_xll.BDP($B11,AB$9,"fill=b")))</f>
        <v>1/5/2018</v>
      </c>
      <c r="AC11" s="150" t="str">
        <f>IF(OR(AD11="SINKABLE",AD11="CALL/SINK"),"YLD FLAG=28",IF(OR(AD11="AT MATURITY",AD11="CALLABLE"),"YLD FLAG=1","YLD FLAG=2"))</f>
        <v>YLD FLAG=1</v>
      </c>
      <c r="AD11" s="150" t="str" cm="1">
        <f t="array" ref="AD11">IF(B11="","",_xll.BDP($B11,AD$9,"fill=b"))</f>
        <v>AT MATURITY</v>
      </c>
      <c r="AE11" s="256" cm="1">
        <f t="array" ref="AE11">IF(B11="","",IF(ISERROR(_xlfn.SINGLE(_xll.BDH(B11,"PX LAST",AN11,AN11,"DAYS=ALL","PRICING SOURCE",$C$6))*1),_xll.BDP(B11,"PAR AMT"),_xll.BDH(B11,"PX LAST",AN11,AN11,"DAYS=ALL","PRICING SOURCE",$C$6)))</f>
        <v>10000</v>
      </c>
      <c r="AF11" s="150" cm="1">
        <f t="array" ref="AF11">IF(B11="","",_xll.BDP($B11,AF$9,"fill=b"))</f>
        <v>4.3914070000000001</v>
      </c>
      <c r="AG11" s="150"/>
      <c r="AH11" s="190">
        <f>IF(B11="","",IF($AD11="AT MATURITY",$AB11*1,_xll.BADDPERIODS(_xll.BDP($B11,"issue dt"),"numberofperiods",TRUNC(_xll.BDP($B11,"YRS_TO_LONGEST_AVG_LIFE","YLD_YTM_BID",AF11,"SETTLE_DT",U11,AC11),0),"per=y")+(ROUND(MOD(_xll.BDP(B11,"YRS_TO_LONGEST_AVG_LIFE","YLD_YTM_BID",AF11,"SETTLE_DT",U11,AC11),1)*360,0))))</f>
        <v>43105</v>
      </c>
      <c r="AI11" s="150" t="e" cm="1">
        <f t="array" ref="AI11">IF(B11="","",AF11-_xll.BInterpol(_xll.BDP(_xll.BDS("YCGT0372 Index","curve members","CURVE_DATE", $U11,"endcol=1","array=true"),"maturity")*1,_xll.BDH(_xll.BDS("YCGT0372 Index","curve members","CURVE_DATE", $U11,"endcol=1","array=true"),"yld cnv mid",$U11,$U11,"days=all"),AH11,"CUBIC","Extrapolate=LINEAR","SKIP=TRUE","SORT=TRUE","MultiX=Average"))</f>
        <v>#VALUE!</v>
      </c>
      <c r="AJ11" s="189">
        <f t="shared" ref="AJ11:AJ42" si="2">IF(ISERROR(IF(LEFT(IF(MID(G11,8,2)="DI",J11,IF(MID(G11,8,4)="IPCA",AI11,"")),1)="#","",IF(MID(G11,8,2)="DI",J11,IF(MID(G11,8,4)="IPCA",AI11,IF(G11="BRAZIL PERCENT DI",J11,""))))),"",IF(LEFT(IF(MID(G11,8,2)="DI",J11,IF(MID(G11,8,4)="IPCA",AI11,"")),1)="#","",IF(MID(G11,8,2)="DI",J11,IF(MID(G11,8,4)="IPCA",AI11,IF(G11="BRAZIL PERCENT DI",J11,"")))))</f>
        <v>0.65</v>
      </c>
      <c r="AK11" s="257" t="str" cm="1">
        <f t="array" ref="AK11">IF(B11="","",_xll.BDP($B11,AK$9,"fill=b"))</f>
        <v>249.75MM</v>
      </c>
      <c r="AL11" s="257" t="str" cm="1">
        <f t="array" ref="AL11">IF(B11="","",_xll.BDP($B11,AL$9,"fill=b"))</f>
        <v>0</v>
      </c>
      <c r="AM11" s="256" cm="1">
        <f t="array" ref="AM11">IF(B11="","",_xll.BDP($B11,AM$9,"fill=b"))</f>
        <v>10000</v>
      </c>
      <c r="AN11" s="150" t="str" cm="1">
        <f t="array" ref="AN11">IF(B11="","",_xll.BDP($B11,AN$9,"fill=b"))</f>
        <v>2/8/2008</v>
      </c>
      <c r="AO11" s="150" t="str" cm="1">
        <f t="array" ref="AO11">IF(B11="","",IF(LEFT(_xlfn.SINGLE(_xll.BDP($B11,AO$9,"fill=b")),1)="#","-",_xll.BDP($B11,AO$9,"fill=b")))</f>
        <v>ITABBA</v>
      </c>
      <c r="AP11" s="150" t="str" cm="1">
        <f t="array" ref="AP11">IF(B11="","",_xll.BDP($B11,AP$9,"fill=b"))</f>
        <v>Financial</v>
      </c>
      <c r="AQ11" s="150" t="str" cm="1">
        <f t="array" ref="AQ11">IF(B11="","",_xll.BDP($B11,AQ$9,"fill=b"))</f>
        <v>Real Estate</v>
      </c>
      <c r="AR11" s="150" t="str" cm="1">
        <f t="array" ref="AR11">IF(B11="","",_xll.BDP($B11,AR$9,"fill=b"))</f>
        <v>NR</v>
      </c>
      <c r="AS11" s="150" t="str" cm="1">
        <f t="array" ref="AS11">IF(B11="","",_xll.BDP($B11,AS$9,"fill=b"))</f>
        <v/>
      </c>
      <c r="AT11" s="150" t="str" cm="1">
        <f t="array" ref="AT11">IF(B11="","",_xll.BDP($B11,AT$9,"fill=b"))</f>
        <v/>
      </c>
      <c r="AU11" s="258" t="str" cm="1">
        <f t="array" ref="AU11">IF(B11="","",_xll.BDP($B11,AU$9,"fill=b"))</f>
        <v>CPN = BZDIOVRA INDEX + 65BP.</v>
      </c>
    </row>
    <row r="12" spans="2:47" ht="15" x14ac:dyDescent="0.25">
      <c r="B12" s="232" t="s">
        <v>296</v>
      </c>
      <c r="C12" s="150" t="str" cm="1">
        <f t="array" ref="C12">IF(B12="","",_xll.BDP($B12,C$9,"fill=b"))</f>
        <v>VIVO34</v>
      </c>
      <c r="D12" s="150" t="str" cm="1">
        <f t="array" ref="D12">IF(B12="","",_xll.BDP($B12,D$9,"fill=b"))</f>
        <v>VIVOBZ 4 10/15/19</v>
      </c>
      <c r="E12" s="150" t="str" cm="1">
        <f t="array" ref="E12">IF(B12="","",_xll.BDP($B12,E$9,"fill=b"))</f>
        <v>TELEFONICA BRASIL SA</v>
      </c>
      <c r="F12" s="150" t="str" cm="1">
        <f t="array" ref="F12">IF(B12="","",IF(LEFT(_xlfn.SINGLE(_xll.BDP($B12,F$9,"fill=b")),1)="#","-",_xll.BDP($B12,F$9,"fill=b")))</f>
        <v>TEF SM</v>
      </c>
      <c r="G12" s="150" t="str" cm="1">
        <f t="array" ref="G12">IF(B12="","",_xll.BDP($B12,G$9,"fill=b"))</f>
        <v>BRAZIL IPCA+SPREAD</v>
      </c>
      <c r="H12" s="150" t="str" cm="1">
        <f t="array" ref="H12">IF(B12="","",_xll.BDP($B12,H$9,"fill=b"))</f>
        <v/>
      </c>
      <c r="I12" s="150" t="str" cm="1">
        <f t="array" ref="I12">IF(LEFT(_xlfn.SINGLE(_xll.BDP(B12,"REFERENCE_INDEX")),1)="#",IF(LEFT(_xlfn.SINGLE(_xll.BDP(B12, "RESET_IDX"))&amp;" Index",1)="#","",_xlfn.SINGLE(_xll.BDP(B12, "RESET_IDX"))&amp;" Index"),_xll.BDP(B12,"REFERENCE_INDEX"))</f>
        <v>BZCLVLUE Index</v>
      </c>
      <c r="J12" s="150" t="str">
        <f>IF(I12="BZDIOVRA Index",IF(_xll.BDP(B12,"FLT_SPREAD")/100=0,_xll.BDP(B12,"FLT_BENCH_MULTIPLIER"),_xll.BDP(B12,"FLT_SPREAD")/100),"")</f>
        <v/>
      </c>
      <c r="K12" s="150" t="str" cm="1">
        <f t="array" ref="K12">IF(B12="","",IF(LEFT(_xlfn.SINGLE(_xll.BDP($B12,K$9,"fill=b")),1)="#","-",_xll.BDP($B12,K$9,"fill=b")))</f>
        <v>-</v>
      </c>
      <c r="L12" s="233"/>
      <c r="M12" s="234" t="e">
        <f t="shared" ref="M12:M75" si="3">IF(B12="","",IF(L12="",TEXT(YEAR(K12)*10000+MONTH(K12)*100+DAY(K12),"00000000"),TEXT(YEAR(L12)*10000+MONTH(L12)*100+DAY(L12),"00000000")))</f>
        <v>#VALUE!</v>
      </c>
      <c r="N12" s="252" t="e">
        <f>IF(B12="","",IF(R12="",IF(OR(AD12="SINKABLE",AD12="CALL/SINK"),_xll.BDP(B12,$N$9,$M$9,M12,"PRICING SOURCE",$C$6,"FILL=B"),_xll.BDP(B12,$N$9,$M$9,M12,"PRICING SOURCE",$C$6,"FILL=B")),IF(OR(AD12="SINKABLE",AD12="CALL/SINK"),_xll.BDP(B12,$N$9,$Q$10,S12,$M$9,M12,"PRICING SOURCE",$C$6,"FILL=B"),_xll.BDP(B12,$N$9,$Q$9,S12,$M$9,M12,"PRICING SOURCE",$C$6,"FILL=B"))))</f>
        <v>#VALUE!</v>
      </c>
      <c r="O12" s="235"/>
      <c r="P12" s="236" t="e">
        <f>IF(O12="",N12,O12)</f>
        <v>#VALUE!</v>
      </c>
      <c r="Q12" s="166" t="str">
        <f>IF(ISERROR((IF(OR(AD12="SINKABLE",AD12="CALL/SINK"),_xll.BDP($B12,$Q$10,"fill=b","PRICING_SOURCE",$C$6,$AC12,$N$9,$P12,$M$9,$M12),_xll.BDP($B12,Q$9,"fill=b","PRICING_SOURCE",$C$6,$AC12,$N$9,$P12,$M$9,$M12)))*1),"",IF(OR(AD12="SINKABLE",AD12="CALL/SINK"),_xll.BDP($B12,$Q$10,"fill=b","PRICING_SOURCE",$C$6,$AC12,$N$9,$P12,$M$9,$M12),_xll.BDP($B12,Q$9,"fill=b","PRICING_SOURCE",$C$6,$AC12,$N$9,$P12,$M$9,$M12)))</f>
        <v/>
      </c>
      <c r="R12" s="237"/>
      <c r="S12" s="238" t="str">
        <f>IF(R12="",Q12,R12)</f>
        <v/>
      </c>
      <c r="T12" s="239" cm="1">
        <f t="array" ref="T12">IF(ISERROR((_xlfn.SINGLE(IF(OR(AD12="SINKABLE",AD12="CALL/SINK"),_xll.BDP($B12,$Q$10,"fill=b","PRICING_SOURCE",$C$6,$AC12,$M$9,$U12,"px ask",$AE12),_xll.BDP($B12,Q$9,"fill=b","PRICING_SOURCE",$C$6,$AC12,$M$9,$U12,"px ask",$AE12))))*1),"",IF(OR(AD12="SINKABLE",AD12="CALL/SINK"),_xll.BDP($B12,$Q$10,"fill=b","PRICING_SOURCE",$C$6,$AC12,$M$9,$U12,"px ask",$AE12),_xll.BDP($B12,Q$9,"fill=b","PRICING_SOURCE",$C$6,$AC12,$M$9,$U12,"px ask",$AE12)))</f>
        <v>4.0247541705782792</v>
      </c>
      <c r="U12" s="240" t="str">
        <f t="shared" si="0"/>
        <v>20091015</v>
      </c>
      <c r="V12" s="254" t="e" cm="1">
        <f t="array" ref="V12">IF(B12="","",IF(I12="BZDIOVRA Index",IF(OR(AD12="SINKABLE",AD12="CALL/SINK"),_xll.BDP($B12,"PX_ASK",$Q$10,J12,$M$9,M12),_xll.BDP($B12,"PX_"&amp;$H$7,$Q$9,J12,$M$9,M12)),_xll.BDP($B12,"PX_"&amp;$H$7,$Q$9,_xll.BDP(B12,"CPN"),$M$9,M12)))</f>
        <v>#VALUE!</v>
      </c>
      <c r="W12" s="254" t="str">
        <f t="shared" si="1"/>
        <v/>
      </c>
      <c r="X12" s="166" t="e">
        <f>IF(B12="","",IF(OR(AD12="SINKABLE",AD12="CALL/SINK"),_xll.BDP($B12,X$9,"fill=b","PRICING_SOURCE",$C$6,$AC12,$M$9,$M12,$N$9,$P12,$Q$10,$S12),_xll.BDP($B12,X$9,"fill=b","PRICING_SOURCE",$C$6,$AC12,$M$9,$M12,$N$9,$P12,$Q$9,$S12)))</f>
        <v>#VALUE!</v>
      </c>
      <c r="Y12" s="166" t="e">
        <f>IF(B12="","",IF(OR(AD12="SINKABLE",AD12="CALL/SINK"),_xll.BDP($B12,Y$9,"fill=b","PRICING_SOURCE",$C$6,$AC12,$M$9,$M12,$N$9,$P12,$Q$10,$S12),_xll.BDP($B12,Y$9,"fill=b","PRICING_SOURCE",$C$6,$AC12,$M$9,$M12,$N$9,$P12,$Q$9,$S12)))</f>
        <v>#VALUE!</v>
      </c>
      <c r="Z12" s="255" t="e">
        <f>IF(B12="","",IF(OR(AD12="SINKABLE",AD12="CALL/SINK"),_xll.BDP($B12,Z$9,"fill=b","PRICING_SOURCE",$C$6,$AC12,$M$9,$M12,$N$9,$P12,$Q$10,$S12),_xll.BDP($B12,Z$9,"fill=b","PRICING_SOURCE",$C$6,$AC12,$M$9,$M12,$N$9,$P12,$Q$9,$S12)))</f>
        <v>#VALUE!</v>
      </c>
      <c r="AA12" s="166" t="e">
        <f>IF(B12="","",IF(OR(AD12="SINKABLE",AD12="CALL/SINK"),_xll.BDP($B12,AA$9,"fill=b","PRICING_SOURCE",$C$6,$AC12,$M$9,$M12,$N$9,$P12,$Q$10,$S12),_xll.BDP($B12,AA$9,"fill=b","PRICING_SOURCE",$C$6,$AC12,$M$9,$M12,$N$9,$P12,$Q$9,$S12)))</f>
        <v>#VALUE!</v>
      </c>
      <c r="AB12" s="150" t="str" cm="1">
        <f t="array" ref="AB12">IF(B12="","",IF(LEFT(_xlfn.SINGLE(_xll.BDP($B12,AB$9,"fill=b")),1)="#","-",_xll.BDP($B12,AB$9,"fill=b")))</f>
        <v>10/15/2019</v>
      </c>
      <c r="AC12" s="150" t="str">
        <f>IF(OR(AD12="SINKABLE",AD12="CALL/SINK"),"YLD FLAG=28",IF(OR(AD12="AT MATURITY",AD12="CALLABLE"),"YLD FLAG=1","YLD FLAG=2"))</f>
        <v>YLD FLAG=1</v>
      </c>
      <c r="AD12" s="150" t="str" cm="1">
        <f t="array" ref="AD12">IF(B12="","",_xll.BDP($B12,AD$9,"fill=b"))</f>
        <v>AT MATURITY</v>
      </c>
      <c r="AE12" s="256" cm="1">
        <f t="array" ref="AE12">IF(B12="","",IF(ISERROR(_xlfn.SINGLE(_xll.BDH(B12,"PX LAST",AN12,AN12,"DAYS=ALL","PRICING SOURCE",$C$6))*1),_xll.BDP(B12,"PAR AMT"),_xll.BDH(B12,"PX LAST",AN12,AN12,"DAYS=ALL","PRICING SOURCE",$C$6)))</f>
        <v>1000</v>
      </c>
      <c r="AF12" s="150" cm="1">
        <f t="array" ref="AF12">IF(B12="","",_xll.BDP($B12,AF$9,"fill=b"))</f>
        <v>4</v>
      </c>
      <c r="AG12" s="150"/>
      <c r="AH12" s="190">
        <f>IF(B12="","",IF($AD12="AT MATURITY",$AB12*1,_xll.BADDPERIODS(_xll.BDP($B12,"issue dt"),"numberofperiods",TRUNC(_xll.BDP($B12,"YRS_TO_LONGEST_AVG_LIFE","YLD_YTM_BID",AF12,"SETTLE_DT",U12,AC12),0),"per=y")+(ROUND(MOD(_xll.BDP(B12,"YRS_TO_LONGEST_AVG_LIFE","YLD_YTM_BID",AF12,"SETTLE_DT",U12,AC12),1)*360,0))))</f>
        <v>43753</v>
      </c>
      <c r="AI12" s="150" t="e" cm="1">
        <f t="array" ref="AI12">IF(B12="","",AF12-_xll.BInterpol(_xll.BDP(_xll.BDS("YCGT0372 Index","curve members","CURVE_DATE", $U12,"endcol=1","array=true"),"maturity")*1,_xll.BDH(_xll.BDS("YCGT0372 Index","curve members","CURVE_DATE", $U12,"endcol=1","array=true"),"yld cnv mid",$U12,$U12,"days=all"),AH12,"CUBIC","Extrapolate=LINEAR","SKIP=TRUE","SORT=TRUE","MultiX=Average"))</f>
        <v>#VALUE!</v>
      </c>
      <c r="AJ12" s="189" t="str">
        <f t="shared" si="2"/>
        <v/>
      </c>
      <c r="AK12" s="257" t="str" cm="1">
        <f t="array" ref="AK12">IF(B12="","",_xll.BDP($B12,AK$9,"fill=b"))</f>
        <v>72MM</v>
      </c>
      <c r="AL12" s="257" t="str" cm="1">
        <f t="array" ref="AL12">IF(B12="","",_xll.BDP($B12,AL$9,"fill=b"))</f>
        <v>0</v>
      </c>
      <c r="AM12" s="256" cm="1">
        <f t="array" ref="AM12">IF(B12="","",_xll.BDP($B12,AM$9,"fill=b"))</f>
        <v>1000</v>
      </c>
      <c r="AN12" s="150" t="str" cm="1">
        <f t="array" ref="AN12">IF(B12="","",_xll.BDP($B12,AN$9,"fill=b"))</f>
        <v>10/15/2009</v>
      </c>
      <c r="AO12" s="150" t="str" cm="1">
        <f t="array" ref="AO12">IF(B12="","",IF(LEFT(_xlfn.SINGLE(_xll.BDP($B12,AO$9,"fill=b")),1)="#","-",_xll.BDP($B12,AO$9,"fill=b")))</f>
        <v>ITABBA</v>
      </c>
      <c r="AP12" s="150" t="str" cm="1">
        <f t="array" ref="AP12">IF(B12="","",_xll.BDP($B12,AP$9,"fill=b"))</f>
        <v>Communications</v>
      </c>
      <c r="AQ12" s="150" t="str" cm="1">
        <f t="array" ref="AQ12">IF(B12="","",_xll.BDP($B12,AQ$9,"fill=b"))</f>
        <v>Telecommunications</v>
      </c>
      <c r="AR12" s="150" t="str" cm="1">
        <f t="array" ref="AR12">IF(B12="","",_xll.BDP($B12,AR$9,"fill=b"))</f>
        <v>NR</v>
      </c>
      <c r="AS12" s="150" t="str" cm="1">
        <f t="array" ref="AS12">IF(B12="","",_xll.BDP($B12,AS$9,"fill=b"))</f>
        <v/>
      </c>
      <c r="AT12" s="150" t="str" cm="1">
        <f t="array" ref="AT12">IF(B12="","",_xll.BDP($B12,AT$9,"fill=b"))</f>
        <v/>
      </c>
      <c r="AU12" s="258" t="str" cm="1">
        <f t="array" ref="AU12">IF(B12="","",_xll.BDP($B12,AU$9,"fill=b"))</f>
        <v>RDMPTN &amp; CPN LINKED TO {BZCLVLUE Index &lt;GO&gt;} VARIATION.</v>
      </c>
    </row>
    <row r="13" spans="2:47" ht="15" x14ac:dyDescent="0.25">
      <c r="B13" s="232" t="s">
        <v>298</v>
      </c>
      <c r="C13" s="150" t="str" cm="1">
        <f t="array" ref="C13">IF(B13="","",_xll.BDP($B13,C$9,"fill=b"))</f>
        <v>AVIA21</v>
      </c>
      <c r="D13" s="150" t="str" cm="1">
        <f t="array" ref="D13">IF(B13="","",_xll.BDP($B13,D$9,"fill=b"))</f>
        <v>OHLBZ 8 03/15/17</v>
      </c>
      <c r="E13" s="150" t="str" cm="1">
        <f t="array" ref="E13">IF(B13="","",_xll.BDP($B13,E$9,"fill=b"))</f>
        <v>AUTOVIAS SA</v>
      </c>
      <c r="F13" s="150" t="str" cm="1">
        <f t="array" ref="F13">IF(B13="","",IF(LEFT(_xlfn.SINGLE(_xll.BDP($B13,F$9,"fill=b")),1)="#","-",_xll.BDP($B13,F$9,"fill=b")))</f>
        <v>3284233Z IM</v>
      </c>
      <c r="G13" s="150" t="str" cm="1">
        <f t="array" ref="G13">IF(B13="","",_xll.BDP($B13,G$9,"fill=b"))</f>
        <v>BRAZIL IPCA+SPREAD</v>
      </c>
      <c r="H13" s="150" t="str" cm="1">
        <f t="array" ref="H13">IF(B13="","",_xll.BDP($B13,H$9,"fill=b"))</f>
        <v/>
      </c>
      <c r="I13" s="150" t="str" cm="1">
        <f t="array" ref="I13">IF(LEFT(_xlfn.SINGLE(_xll.BDP(B13,"REFERENCE_INDEX")),1)="#",IF(LEFT(_xlfn.SINGLE(_xll.BDP(B13, "RESET_IDX"))&amp;" Index",1)="#","",_xlfn.SINGLE(_xll.BDP(B13, "RESET_IDX"))&amp;" Index"),_xll.BDP(B13,"REFERENCE_INDEX"))</f>
        <v>BZCLVLUE Index</v>
      </c>
      <c r="J13" s="150" t="str">
        <f>IF(I13="BZDIOVRA Index",IF(_xll.BDP(B13,"FLT_SPREAD")/100=0,_xll.BDP(B13,"FLT_BENCH_MULTIPLIER"),_xll.BDP(B13,"FLT_SPREAD")/100),"")</f>
        <v/>
      </c>
      <c r="K13" s="150" t="str" cm="1">
        <f t="array" ref="K13">IF(B13="","",IF(LEFT(_xlfn.SINGLE(_xll.BDP($B13,K$9,"fill=b")),1)="#","-",_xll.BDP($B13,K$9,"fill=b")))</f>
        <v>-</v>
      </c>
      <c r="L13" s="233"/>
      <c r="M13" s="234" t="e">
        <f t="shared" si="3"/>
        <v>#VALUE!</v>
      </c>
      <c r="N13" s="252" t="e">
        <f>IF(B13="","",IF(R13="",IF(OR(AD13="SINKABLE",AD13="CALL/SINK"),_xll.BDP(B13,$N$9,$M$9,M13,"PRICING SOURCE",$C$6,"FILL=B"),_xll.BDP(B13,$N$9,$M$9,M13,"PRICING SOURCE",$C$6,"FILL=B")),IF(OR(AD13="SINKABLE",AD13="CALL/SINK"),_xll.BDP(B13,$N$9,$Q$10,S13,$M$9,M13,"PRICING SOURCE",$C$6,"FILL=B"),_xll.BDP(B13,$N$9,$Q$9,S13,$M$9,M13,"PRICING SOURCE",$C$6,"FILL=B"))))</f>
        <v>#VALUE!</v>
      </c>
      <c r="O13" s="235"/>
      <c r="P13" s="236" t="e">
        <f>IF(O13="",N13,O13)</f>
        <v>#VALUE!</v>
      </c>
      <c r="Q13" s="166" t="str">
        <f>IF(ISERROR((IF(OR(AD13="SINKABLE",AD13="CALL/SINK"),_xll.BDP($B13,$Q$10,"fill=b","PRICING_SOURCE",$C$6,$AC13,$N$9,$P13,$M$9,$M13),_xll.BDP($B13,Q$9,"fill=b","PRICING_SOURCE",$C$6,$AC13,$N$9,$P13,$M$9,$M13)))*1),"",IF(OR(AD13="SINKABLE",AD13="CALL/SINK"),_xll.BDP($B13,$Q$10,"fill=b","PRICING_SOURCE",$C$6,$AC13,$N$9,$P13,$M$9,$M13),_xll.BDP($B13,Q$9,"fill=b","PRICING_SOURCE",$C$6,$AC13,$N$9,$P13,$M$9,$M13)))</f>
        <v/>
      </c>
      <c r="R13" s="237"/>
      <c r="S13" s="238" t="str">
        <f>IF(R13="",Q13,R13)</f>
        <v/>
      </c>
      <c r="T13" s="239" cm="1">
        <f t="array" ref="T13">IF(ISERROR((_xlfn.SINGLE(IF(OR(AD13="SINKABLE",AD13="CALL/SINK"),_xll.BDP($B13,$Q$10,"fill=b","PRICING_SOURCE",$C$6,$AC13,$M$9,$U13,"px ask",$AE13),_xll.BDP($B13,Q$9,"fill=b","PRICING_SOURCE",$C$6,$AC13,$M$9,$U13,"px ask",$AE13))))*1),"",IF(OR(AD13="SINKABLE",AD13="CALL/SINK"),_xll.BDP($B13,$Q$10,"fill=b","PRICING_SOURCE",$C$6,$AC13,$M$9,$U13,"px ask",$AE13),_xll.BDP($B13,Q$9,"fill=b","PRICING_SOURCE",$C$6,$AC13,$M$9,$U13,"px ask",$AE13)))</f>
        <v>97.543219857729724</v>
      </c>
      <c r="U13" s="240" t="str">
        <f t="shared" si="0"/>
        <v>20100315</v>
      </c>
      <c r="V13" s="254" t="e" cm="1">
        <f t="array" ref="V13">IF(B13="","",IF(I13="BZDIOVRA Index",IF(OR(AD13="SINKABLE",AD13="CALL/SINK"),_xll.BDP($B13,"PX_ASK",$Q$10,J13,$M$9,M13),_xll.BDP($B13,"PX_"&amp;$H$7,$Q$9,J13,$M$9,M13)),_xll.BDP($B13,"PX_"&amp;$H$7,$Q$9,_xll.BDP(B13,"CPN"),$M$9,M13)))</f>
        <v>#VALUE!</v>
      </c>
      <c r="W13" s="254" t="str">
        <f t="shared" si="1"/>
        <v/>
      </c>
      <c r="X13" s="166" t="e">
        <f>IF(B13="","",IF(OR(AD13="SINKABLE",AD13="CALL/SINK"),_xll.BDP($B13,X$9,"fill=b","PRICING_SOURCE",$C$6,$AC13,$M$9,$M13,$N$9,$P13,$Q$10,$S13),_xll.BDP($B13,X$9,"fill=b","PRICING_SOURCE",$C$6,$AC13,$M$9,$M13,$N$9,$P13,$Q$9,$S13)))</f>
        <v>#VALUE!</v>
      </c>
      <c r="Y13" s="166" t="e">
        <f>IF(B13="","",IF(OR(AD13="SINKABLE",AD13="CALL/SINK"),_xll.BDP($B13,Y$9,"fill=b","PRICING_SOURCE",$C$6,$AC13,$M$9,$M13,$N$9,$P13,$Q$10,$S13),_xll.BDP($B13,Y$9,"fill=b","PRICING_SOURCE",$C$6,$AC13,$M$9,$M13,$N$9,$P13,$Q$9,$S13)))</f>
        <v>#VALUE!</v>
      </c>
      <c r="Z13" s="255" t="e">
        <f>IF(B13="","",IF(OR(AD13="SINKABLE",AD13="CALL/SINK"),_xll.BDP($B13,Z$9,"fill=b","PRICING_SOURCE",$C$6,$AC13,$M$9,$M13,$N$9,$P13,$Q$10,$S13),_xll.BDP($B13,Z$9,"fill=b","PRICING_SOURCE",$C$6,$AC13,$M$9,$M13,$N$9,$P13,$Q$9,$S13)))</f>
        <v>#VALUE!</v>
      </c>
      <c r="AA13" s="166" t="e">
        <f>IF(B13="","",IF(OR(AD13="SINKABLE",AD13="CALL/SINK"),_xll.BDP($B13,AA$9,"fill=b","PRICING_SOURCE",$C$6,$AC13,$M$9,$M13,$N$9,$P13,$Q$10,$S13),_xll.BDP($B13,AA$9,"fill=b","PRICING_SOURCE",$C$6,$AC13,$M$9,$M13,$N$9,$P13,$Q$9,$S13)))</f>
        <v>#VALUE!</v>
      </c>
      <c r="AB13" s="150" t="str" cm="1">
        <f t="array" ref="AB13">IF(B13="","",IF(LEFT(_xlfn.SINGLE(_xll.BDP($B13,AB$9,"fill=b")),1)="#","-",_xll.BDP($B13,AB$9,"fill=b")))</f>
        <v>3/15/2017</v>
      </c>
      <c r="AC13" s="150" t="str">
        <f>IF(OR(AD13="SINKABLE",AD13="CALL/SINK"),"YLD FLAG=28",IF(OR(AD13="AT MATURITY",AD13="CALLABLE"),"YLD FLAG=1","YLD FLAG=2"))</f>
        <v>YLD FLAG=28</v>
      </c>
      <c r="AD13" s="150" t="str" cm="1">
        <f t="array" ref="AD13">IF(B13="","",_xll.BDP($B13,AD$9,"fill=b"))</f>
        <v>SINKABLE</v>
      </c>
      <c r="AE13" s="256" cm="1">
        <f t="array" ref="AE13">IF(B13="","",IF(ISERROR(_xlfn.SINGLE(_xll.BDH(B13,"PX LAST",AN13,AN13,"DAYS=ALL","PRICING SOURCE",$C$6))*1),_xll.BDP(B13,"PAR AMT"),_xll.BDH(B13,"PX LAST",AN13,AN13,"DAYS=ALL","PRICING SOURCE",$C$6)))</f>
        <v>333.34000000000003</v>
      </c>
      <c r="AF13" s="150" cm="1">
        <f t="array" ref="AF13">IF(B13="","",_xll.BDP($B13,AF$9,"fill=b"))</f>
        <v>8</v>
      </c>
      <c r="AG13" s="150"/>
      <c r="AH13" s="190">
        <f>IF(B13="","",IF($AD13="AT MATURITY",$AB13*1,_xll.BADDPERIODS(_xll.BDP($B13,"issue dt"),"numberofperiods",TRUNC(_xll.BDP($B13,"YRS_TO_LONGEST_AVG_LIFE","YLD_YTM_BID",AF13,"SETTLE_DT",U13,AC13),0),"per=y")+(ROUND(MOD(_xll.BDP(B13,"YRS_TO_LONGEST_AVG_LIFE","YLD_YTM_BID",AF13,"SETTLE_DT",U13,AC13),1)*360,0))))</f>
        <v>62189</v>
      </c>
      <c r="AI13" s="150" t="e" cm="1">
        <f t="array" ref="AI13">IF(B13="","",AF13-_xll.BInterpol(_xll.BDP(_xll.BDS("YCGT0372 Index","curve members","CURVE_DATE", $U13,"endcol=1","array=true"),"maturity")*1,_xll.BDH(_xll.BDS("YCGT0372 Index","curve members","CURVE_DATE", $U13,"endcol=1","array=true"),"yld cnv mid",$U13,$U13,"days=all"),AH13,"CUBIC","Extrapolate=LINEAR","SKIP=TRUE","SORT=TRUE","MultiX=Average"))</f>
        <v>#VALUE!</v>
      </c>
      <c r="AJ13" s="189" t="str">
        <f t="shared" si="2"/>
        <v/>
      </c>
      <c r="AK13" s="257" t="str" cm="1">
        <f t="array" ref="AK13">IF(B13="","",_xll.BDP($B13,AK$9,"fill=b"))</f>
        <v>120MM</v>
      </c>
      <c r="AL13" s="257" t="str" cm="1">
        <f t="array" ref="AL13">IF(B13="","",_xll.BDP($B13,AL$9,"fill=b"))</f>
        <v>0</v>
      </c>
      <c r="AM13" s="256" cm="1">
        <f t="array" ref="AM13">IF(B13="","",_xll.BDP($B13,AM$9,"fill=b"))</f>
        <v>333.34000000000003</v>
      </c>
      <c r="AN13" s="150" t="str" cm="1">
        <f t="array" ref="AN13">IF(B13="","",_xll.BDP($B13,AN$9,"fill=b"))</f>
        <v>3/15/2010</v>
      </c>
      <c r="AO13" s="150" t="str" cm="1">
        <f t="array" ref="AO13">IF(B13="","",IF(LEFT(_xlfn.SINGLE(_xll.BDP($B13,AO$9,"fill=b")),1)="#","-",_xll.BDP($B13,AO$9,"fill=b")))</f>
        <v>JOINT LEADS</v>
      </c>
      <c r="AP13" s="150" t="str" cm="1">
        <f t="array" ref="AP13">IF(B13="","",_xll.BDP($B13,AP$9,"fill=b"))</f>
        <v>Consumer, Non-cyclical</v>
      </c>
      <c r="AQ13" s="150" t="str" cm="1">
        <f t="array" ref="AQ13">IF(B13="","",_xll.BDP($B13,AQ$9,"fill=b"))</f>
        <v>Commercial Services</v>
      </c>
      <c r="AR13" s="150" t="str" cm="1">
        <f t="array" ref="AR13">IF(B13="","",_xll.BDP($B13,AR$9,"fill=b"))</f>
        <v/>
      </c>
      <c r="AS13" s="150" t="str" cm="1">
        <f t="array" ref="AS13">IF(B13="","",_xll.BDP($B13,AS$9,"fill=b"))</f>
        <v>WR</v>
      </c>
      <c r="AT13" s="150" t="str" cm="1">
        <f t="array" ref="AT13">IF(B13="","",_xll.BDP($B13,AT$9,"fill=b"))</f>
        <v/>
      </c>
      <c r="AU13" s="258" t="str" cm="1">
        <f t="array" ref="AU13">IF(B13="","",_xll.BDP($B13,AU$9,"fill=b"))</f>
        <v>RDMPTN &amp; CPN LINKED TO {BZCLVLUE Index &lt;GO&gt;} VARIATION.</v>
      </c>
    </row>
    <row r="14" spans="2:47" ht="15" x14ac:dyDescent="0.25">
      <c r="B14" s="232" t="s">
        <v>290</v>
      </c>
      <c r="C14" s="150" t="str" cm="1">
        <f t="array" ref="C14">IF(B14="","",_xll.BDP($B14,C$9,"fill=b"))</f>
        <v>CBAN11</v>
      </c>
      <c r="D14" s="150" t="str" cm="1">
        <f t="array" ref="D14">IF(B14="","",_xll.BDP($B14,D$9,"fill=b"))</f>
        <v>CRDBBR 9.57 01/15/24</v>
      </c>
      <c r="E14" s="150" t="str" cm="1">
        <f t="array" ref="E14">IF(B14="","",_xll.BDP($B14,E$9,"fill=b"))</f>
        <v>ROTA DAS BANDEIRAS</v>
      </c>
      <c r="F14" s="150" t="str" cm="1">
        <f t="array" ref="F14">IF(B14="","",IF(LEFT(_xlfn.SINGLE(_xll.BDP($B14,F$9,"fill=b")),1)="#","-",_xll.BDP($B14,F$9,"fill=b")))</f>
        <v>1786102D BZ</v>
      </c>
      <c r="G14" s="150" t="str" cm="1">
        <f t="array" ref="G14">IF(B14="","",_xll.BDP($B14,G$9,"fill=b"))</f>
        <v>BRAZIL IPCA+SPREAD</v>
      </c>
      <c r="H14" s="150" t="str" cm="1">
        <f t="array" ref="H14">IF(B14="","",_xll.BDP($B14,H$9,"fill=b"))</f>
        <v/>
      </c>
      <c r="I14" s="150" t="str" cm="1">
        <f t="array" ref="I14">IF(LEFT(_xlfn.SINGLE(_xll.BDP(B14,"REFERENCE_INDEX")),1)="#",IF(LEFT(_xlfn.SINGLE(_xll.BDP(B14, "RESET_IDX"))&amp;" Index",1)="#","",_xlfn.SINGLE(_xll.BDP(B14, "RESET_IDX"))&amp;" Index"),_xll.BDP(B14,"REFERENCE_INDEX"))</f>
        <v>BZCLVLUE Index</v>
      </c>
      <c r="J14" s="150" t="str">
        <f>IF(I14="BZDIOVRA Index",IF(_xll.BDP(B14,"FLT_SPREAD")/100=0,_xll.BDP(B14,"FLT_BENCH_MULTIPLIER"),_xll.BDP(B14,"FLT_SPREAD")/100),"")</f>
        <v/>
      </c>
      <c r="K14" s="150" t="str" cm="1">
        <f t="array" ref="K14">IF(B14="","",IF(LEFT(_xlfn.SINGLE(_xll.BDP($B14,K$9,"fill=b")),1)="#","-",_xll.BDP($B14,K$9,"fill=b")))</f>
        <v>-</v>
      </c>
      <c r="L14" s="233"/>
      <c r="M14" s="234" t="e">
        <f t="shared" si="3"/>
        <v>#VALUE!</v>
      </c>
      <c r="N14" s="252" t="e">
        <f>IF(B14="","",IF(R14="",IF(OR(AD14="SINKABLE",AD14="CALL/SINK"),_xll.BDP(B14,$N$9,$M$9,M14,"PRICING SOURCE",$C$6,"FILL=B"),_xll.BDP(B14,$N$9,$M$9,M14,"PRICING SOURCE",$C$6,"FILL=B")),IF(OR(AD14="SINKABLE",AD14="CALL/SINK"),_xll.BDP(B14,$N$9,$Q$10,S14,$M$9,M14,"PRICING SOURCE",$C$6,"FILL=B"),_xll.BDP(B14,$N$9,$Q$9,S14,$M$9,M14,"PRICING SOURCE",$C$6,"FILL=B"))))</f>
        <v>#VALUE!</v>
      </c>
      <c r="O14" s="235"/>
      <c r="P14" s="236" t="e">
        <f t="shared" ref="P14:P22" si="4">IF(O14="",N14,O14)</f>
        <v>#VALUE!</v>
      </c>
      <c r="Q14" s="166" t="str">
        <f>IF(ISERROR((IF(OR(AD14="SINKABLE",AD14="CALL/SINK"),_xll.BDP($B14,$Q$10,"fill=b","PRICING_SOURCE",$C$6,$AC14,$N$9,$P14,$M$9,$M14),_xll.BDP($B14,Q$9,"fill=b","PRICING_SOURCE",$C$6,$AC14,$N$9,$P14,$M$9,$M14)))*1),"",IF(OR(AD14="SINKABLE",AD14="CALL/SINK"),_xll.BDP($B14,$Q$10,"fill=b","PRICING_SOURCE",$C$6,$AC14,$N$9,$P14,$M$9,$M14),_xll.BDP($B14,Q$9,"fill=b","PRICING_SOURCE",$C$6,$AC14,$N$9,$P14,$M$9,$M14)))</f>
        <v/>
      </c>
      <c r="R14" s="237"/>
      <c r="S14" s="238" t="str">
        <f t="shared" ref="S14:S22" si="5">IF(R14="",Q14,R14)</f>
        <v/>
      </c>
      <c r="T14" s="239" cm="1">
        <f t="array" ref="T14">IF(ISERROR((_xlfn.SINGLE(IF(OR(AD14="SINKABLE",AD14="CALL/SINK"),_xll.BDP($B14,$Q$10,"fill=b","PRICING_SOURCE",$C$6,$AC14,$M$9,$U14,"px ask",$AE14),_xll.BDP($B14,Q$9,"fill=b","PRICING_SOURCE",$C$6,$AC14,$M$9,$U14,"px ask",$AE14))))*1),"",IF(OR(AD14="SINKABLE",AD14="CALL/SINK"),_xll.BDP($B14,$Q$10,"fill=b","PRICING_SOURCE",$C$6,$AC14,$M$9,$U14,"px ask",$AE14),_xll.BDP($B14,Q$9,"fill=b","PRICING_SOURCE",$C$6,$AC14,$M$9,$U14,"px ask",$AE14)))</f>
        <v>89.878171730104526</v>
      </c>
      <c r="U14" s="240" t="str">
        <f t="shared" si="0"/>
        <v>20100615</v>
      </c>
      <c r="V14" s="254" t="e" cm="1">
        <f t="array" ref="V14">IF(B14="","",IF(I14="BZDIOVRA Index",IF(OR(AD14="SINKABLE",AD14="CALL/SINK"),_xll.BDP($B14,"PX_ASK",$Q$10,J14,$M$9,M14),_xll.BDP($B14,"PX_"&amp;$H$7,$Q$9,J14,$M$9,M14)),_xll.BDP($B14,"PX_"&amp;$H$7,$Q$9,_xll.BDP(B14,"CPN"),$M$9,M14)))</f>
        <v>#VALUE!</v>
      </c>
      <c r="W14" s="254" t="str">
        <f t="shared" si="1"/>
        <v/>
      </c>
      <c r="X14" s="166" t="e">
        <f>IF(B14="","",IF(OR(AD14="SINKABLE",AD14="CALL/SINK"),_xll.BDP($B14,X$9,"fill=b","PRICING_SOURCE",$C$6,$AC14,$M$9,$M14,$N$9,$P14,$Q$10,$S14),_xll.BDP($B14,X$9,"fill=b","PRICING_SOURCE",$C$6,$AC14,$M$9,$M14,$N$9,$P14,$Q$9,$S14)))</f>
        <v>#VALUE!</v>
      </c>
      <c r="Y14" s="166" t="e">
        <f>IF(B14="","",IF(OR(AD14="SINKABLE",AD14="CALL/SINK"),_xll.BDP($B14,Y$9,"fill=b","PRICING_SOURCE",$C$6,$AC14,$M$9,$M14,$N$9,$P14,$Q$10,$S14),_xll.BDP($B14,Y$9,"fill=b","PRICING_SOURCE",$C$6,$AC14,$M$9,$M14,$N$9,$P14,$Q$9,$S14)))</f>
        <v>#VALUE!</v>
      </c>
      <c r="Z14" s="255" t="e">
        <f>IF(B14="","",IF(OR(AD14="SINKABLE",AD14="CALL/SINK"),_xll.BDP($B14,Z$9,"fill=b","PRICING_SOURCE",$C$6,$AC14,$M$9,$M14,$N$9,$P14,$Q$10,$S14),_xll.BDP($B14,Z$9,"fill=b","PRICING_SOURCE",$C$6,$AC14,$M$9,$M14,$N$9,$P14,$Q$9,$S14)))</f>
        <v>#VALUE!</v>
      </c>
      <c r="AA14" s="166" t="e">
        <f>IF(B14="","",IF(OR(AD14="SINKABLE",AD14="CALL/SINK"),_xll.BDP($B14,AA$9,"fill=b","PRICING_SOURCE",$C$6,$AC14,$M$9,$M14,$N$9,$P14,$Q$10,$S14),_xll.BDP($B14,AA$9,"fill=b","PRICING_SOURCE",$C$6,$AC14,$M$9,$M14,$N$9,$P14,$Q$9,$S14)))</f>
        <v>#VALUE!</v>
      </c>
      <c r="AB14" s="150" t="str" cm="1">
        <f t="array" ref="AB14">IF(B14="","",IF(LEFT(_xlfn.SINGLE(_xll.BDP($B14,AB$9,"fill=b")),1)="#","-",_xll.BDP($B14,AB$9,"fill=b")))</f>
        <v>1/15/2024</v>
      </c>
      <c r="AC14" s="150" t="str">
        <f t="shared" ref="AC14:AC22" si="6">IF(OR(AD14="SINKABLE",AD14="CALL/SINK"),"YLD FLAG=28",IF(OR(AD14="AT MATURITY",AD14="CALLABLE"),"YLD FLAG=1","YLD FLAG=2"))</f>
        <v>YLD FLAG=28</v>
      </c>
      <c r="AD14" s="150" t="str" cm="1">
        <f t="array" ref="AD14">IF(B14="","",_xll.BDP($B14,AD$9,"fill=b"))</f>
        <v>CALL/SINK</v>
      </c>
      <c r="AE14" s="256" cm="1">
        <f t="array" ref="AE14">IF(B14="","",IF(ISERROR(_xlfn.SINGLE(_xll.BDH(B14,"PX LAST",AN14,AN14,"DAYS=ALL","PRICING SOURCE",$C$6))*1),_xll.BDP(B14,"PAR AMT"),_xll.BDH(B14,"PX LAST",AN14,AN14,"DAYS=ALL","PRICING SOURCE",$C$6)))</f>
        <v>8150</v>
      </c>
      <c r="AF14" s="150" cm="1">
        <f t="array" ref="AF14">IF(B14="","",_xll.BDP($B14,AF$9,"fill=b"))</f>
        <v>9.57</v>
      </c>
      <c r="AG14" s="150"/>
      <c r="AH14" s="190" t="e">
        <f>IF(B14="","",IF($AD14="AT MATURITY",$AB14*1,_xll.BADDPERIODS(_xll.BDP($B14,"issue dt"),"numberofperiods",TRUNC(_xll.BDP($B14,"YRS_TO_LONGEST_AVG_LIFE","YLD_YTM_BID",AF14,"SETTLE_DT",U14,AC14),0),"per=y")+(ROUND(MOD(_xll.BDP(B14,"YRS_TO_LONGEST_AVG_LIFE","YLD_YTM_BID",AF14,"SETTLE_DT",U14,AC14),1)*360,0))))</f>
        <v>#VALUE!</v>
      </c>
      <c r="AI14" s="150" t="e">
        <f t="array" ref="AI14">IF(B14="","",AF14-_xll.BInterpol(_xll.BDP(_xll.BDS("YCGT0372 Index","curve members","CURVE_DATE", $U14,"endcol=1","array=true"),"maturity")*1,_xll.BDH(_xll.BDS("YCGT0372 Index","curve members","CURVE_DATE", $U14,"endcol=1","array=true"),"yld cnv mid",$U14,$U14,"days=all"),AH14,"CUBIC","Extrapolate=LINEAR","SKIP=TRUE","SORT=TRUE","MultiX=Average"))</f>
        <v>#VALUE!</v>
      </c>
      <c r="AJ14" s="189" t="str">
        <f t="shared" si="2"/>
        <v/>
      </c>
      <c r="AK14" s="257" t="str" cm="1">
        <f t="array" ref="AK14">IF(B14="","",_xll.BDP($B14,AK$9,"fill=b"))</f>
        <v>550MM</v>
      </c>
      <c r="AL14" s="257" t="str" cm="1">
        <f t="array" ref="AL14">IF(B14="","",_xll.BDP($B14,AL$9,"fill=b"))</f>
        <v>0</v>
      </c>
      <c r="AM14" s="256" cm="1">
        <f t="array" ref="AM14">IF(B14="","",_xll.BDP($B14,AM$9,"fill=b"))</f>
        <v>8150</v>
      </c>
      <c r="AN14" s="150" t="str" cm="1">
        <f t="array" ref="AN14">IF(B14="","",_xll.BDP($B14,AN$9,"fill=b"))</f>
        <v>6/15/2010</v>
      </c>
      <c r="AO14" s="150" t="str" cm="1">
        <f t="array" ref="AO14">IF(B14="","",IF(LEFT(_xlfn.SINGLE(_xll.BDP($B14,AO$9,"fill=b")),1)="#","-",_xll.BDP($B14,AO$9,"fill=b")))</f>
        <v>JOINT LEADS</v>
      </c>
      <c r="AP14" s="150" t="str" cm="1">
        <f t="array" ref="AP14">IF(B14="","",_xll.BDP($B14,AP$9,"fill=b"))</f>
        <v>Industrial</v>
      </c>
      <c r="AQ14" s="150" t="str" cm="1">
        <f t="array" ref="AQ14">IF(B14="","",_xll.BDP($B14,AQ$9,"fill=b"))</f>
        <v>Transportation</v>
      </c>
      <c r="AR14" s="150" t="str" cm="1">
        <f t="array" ref="AR14">IF(B14="","",_xll.BDP($B14,AR$9,"fill=b"))</f>
        <v/>
      </c>
      <c r="AS14" s="150" t="str" cm="1">
        <f t="array" ref="AS14">IF(B14="","",_xll.BDP($B14,AS$9,"fill=b"))</f>
        <v>WR</v>
      </c>
      <c r="AT14" s="150" t="str" cm="1">
        <f t="array" ref="AT14">IF(B14="","",_xll.BDP($B14,AT$9,"fill=b"))</f>
        <v>WD</v>
      </c>
      <c r="AU14" s="258" t="str" cm="1">
        <f t="array" ref="AU14">IF(B14="","",_xll.BDP($B14,AU$9,"fill=b"))</f>
        <v>CPN = BZCLVLUE INDEX + 957 BPS.</v>
      </c>
    </row>
    <row r="15" spans="2:47" ht="15" x14ac:dyDescent="0.25">
      <c r="B15" s="232" t="s">
        <v>285</v>
      </c>
      <c r="C15" s="150" t="str" cm="1">
        <f t="array" ref="C15">IF(B15="","",_xll.BDP($B15,C$9,"fill=b"))</f>
        <v>CBAN21</v>
      </c>
      <c r="D15" s="150" t="str" cm="1">
        <f t="array" ref="D15">IF(B15="","",_xll.BDP($B15,D$9,"fill=b"))</f>
        <v>CRDBBR 9.57 07/15/24</v>
      </c>
      <c r="E15" s="150" t="str" cm="1">
        <f t="array" ref="E15">IF(B15="","",_xll.BDP($B15,E$9,"fill=b"))</f>
        <v>ROTA DAS BANDEIRAS</v>
      </c>
      <c r="F15" s="150" t="str" cm="1">
        <f t="array" ref="F15">IF(B15="","",IF(LEFT(_xlfn.SINGLE(_xll.BDP($B15,F$9,"fill=b")),1)="#","-",_xll.BDP($B15,F$9,"fill=b")))</f>
        <v>1786102D BZ</v>
      </c>
      <c r="G15" s="150" t="str" cm="1">
        <f t="array" ref="G15">IF(B15="","",_xll.BDP($B15,G$9,"fill=b"))</f>
        <v>BRAZIL IPCA+SPREAD</v>
      </c>
      <c r="H15" s="150" t="str" cm="1">
        <f t="array" ref="H15">IF(B15="","",_xll.BDP($B15,H$9,"fill=b"))</f>
        <v/>
      </c>
      <c r="I15" s="150" t="str" cm="1">
        <f t="array" ref="I15">IF(LEFT(_xlfn.SINGLE(_xll.BDP(B15,"REFERENCE_INDEX")),1)="#",IF(LEFT(_xlfn.SINGLE(_xll.BDP(B15, "RESET_IDX"))&amp;" Index",1)="#","",_xlfn.SINGLE(_xll.BDP(B15, "RESET_IDX"))&amp;" Index"),_xll.BDP(B15,"REFERENCE_INDEX"))</f>
        <v>BZCLVLUE Index</v>
      </c>
      <c r="J15" s="150" t="str">
        <f>IF(I15="BZDIOVRA Index",IF(_xll.BDP(B15,"FLT_SPREAD")/100=0,_xll.BDP(B15,"FLT_BENCH_MULTIPLIER"),_xll.BDP(B15,"FLT_SPREAD")/100),"")</f>
        <v/>
      </c>
      <c r="K15" s="150" t="str" cm="1">
        <f t="array" ref="K15">IF(B15="","",IF(LEFT(_xlfn.SINGLE(_xll.BDP($B15,K$9,"fill=b")),1)="#","-",_xll.BDP($B15,K$9,"fill=b")))</f>
        <v>-</v>
      </c>
      <c r="L15" s="233"/>
      <c r="M15" s="234" t="e">
        <f t="shared" si="3"/>
        <v>#VALUE!</v>
      </c>
      <c r="N15" s="252" t="e">
        <f>IF(B15="","",IF(R15="",IF(OR(AD15="SINKABLE",AD15="CALL/SINK"),_xll.BDP(B15,$N$9,$M$9,M15,"PRICING SOURCE",$C$6,"FILL=B"),_xll.BDP(B15,$N$9,$M$9,M15,"PRICING SOURCE",$C$6,"FILL=B")),IF(OR(AD15="SINKABLE",AD15="CALL/SINK"),_xll.BDP(B15,$N$9,$Q$10,S15,$M$9,M15,"PRICING SOURCE",$C$6,"FILL=B"),_xll.BDP(B15,$N$9,$Q$9,S15,$M$9,M15,"PRICING SOURCE",$C$6,"FILL=B"))))</f>
        <v>#VALUE!</v>
      </c>
      <c r="O15" s="235"/>
      <c r="P15" s="236" t="e">
        <f t="shared" si="4"/>
        <v>#VALUE!</v>
      </c>
      <c r="Q15" s="166" t="str">
        <f>IF(ISERROR((IF(OR(AD15="SINKABLE",AD15="CALL/SINK"),_xll.BDP($B15,$Q$10,"fill=b","PRICING_SOURCE",$C$6,$AC15,$N$9,$P15,$M$9,$M15),_xll.BDP($B15,Q$9,"fill=b","PRICING_SOURCE",$C$6,$AC15,$N$9,$P15,$M$9,$M15)))*1),"",IF(OR(AD15="SINKABLE",AD15="CALL/SINK"),_xll.BDP($B15,$Q$10,"fill=b","PRICING_SOURCE",$C$6,$AC15,$N$9,$P15,$M$9,$M15),_xll.BDP($B15,Q$9,"fill=b","PRICING_SOURCE",$C$6,$AC15,$N$9,$P15,$M$9,$M15)))</f>
        <v/>
      </c>
      <c r="R15" s="237"/>
      <c r="S15" s="238" t="str">
        <f t="shared" si="5"/>
        <v/>
      </c>
      <c r="T15" s="239" cm="1">
        <f t="array" ref="T15">IF(ISERROR((_xlfn.SINGLE(IF(OR(AD15="SINKABLE",AD15="CALL/SINK"),_xll.BDP($B15,$Q$10,"fill=b","PRICING_SOURCE",$C$6,$AC15,$M$9,$U15,"px ask",$AE15),_xll.BDP($B15,Q$9,"fill=b","PRICING_SOURCE",$C$6,$AC15,$M$9,$U15,"px ask",$AE15))))*1),"",IF(OR(AD15="SINKABLE",AD15="CALL/SINK"),_xll.BDP($B15,$Q$10,"fill=b","PRICING_SOURCE",$C$6,$AC15,$M$9,$U15,"px ask",$AE15),_xll.BDP($B15,Q$9,"fill=b","PRICING_SOURCE",$C$6,$AC15,$M$9,$U15,"px ask",$AE15)))</f>
        <v>97.979003260374753</v>
      </c>
      <c r="U15" s="240" t="str">
        <f t="shared" si="0"/>
        <v>20100615</v>
      </c>
      <c r="V15" s="254" t="e" cm="1">
        <f t="array" ref="V15">IF(B15="","",IF(I15="BZDIOVRA Index",IF(OR(AD15="SINKABLE",AD15="CALL/SINK"),_xll.BDP($B15,"PX_ASK",$Q$10,J15,$M$9,M15),_xll.BDP($B15,"PX_"&amp;$H$7,$Q$9,J15,$M$9,M15)),_xll.BDP($B15,"PX_"&amp;$H$7,$Q$9,_xll.BDP(B15,"CPN"),$M$9,M15)))</f>
        <v>#VALUE!</v>
      </c>
      <c r="W15" s="254" t="str">
        <f t="shared" si="1"/>
        <v/>
      </c>
      <c r="X15" s="166" t="e">
        <f>IF(B15="","",IF(OR(AD15="SINKABLE",AD15="CALL/SINK"),_xll.BDP($B15,X$9,"fill=b","PRICING_SOURCE",$C$6,$AC15,$M$9,$M15,$N$9,$P15,$Q$10,$S15),_xll.BDP($B15,X$9,"fill=b","PRICING_SOURCE",$C$6,$AC15,$M$9,$M15,$N$9,$P15,$Q$9,$S15)))</f>
        <v>#VALUE!</v>
      </c>
      <c r="Y15" s="166" t="e">
        <f>IF(B15="","",IF(OR(AD15="SINKABLE",AD15="CALL/SINK"),_xll.BDP($B15,Y$9,"fill=b","PRICING_SOURCE",$C$6,$AC15,$M$9,$M15,$N$9,$P15,$Q$10,$S15),_xll.BDP($B15,Y$9,"fill=b","PRICING_SOURCE",$C$6,$AC15,$M$9,$M15,$N$9,$P15,$Q$9,$S15)))</f>
        <v>#VALUE!</v>
      </c>
      <c r="Z15" s="255" t="e">
        <f>IF(B15="","",IF(OR(AD15="SINKABLE",AD15="CALL/SINK"),_xll.BDP($B15,Z$9,"fill=b","PRICING_SOURCE",$C$6,$AC15,$M$9,$M15,$N$9,$P15,$Q$10,$S15),_xll.BDP($B15,Z$9,"fill=b","PRICING_SOURCE",$C$6,$AC15,$M$9,$M15,$N$9,$P15,$Q$9,$S15)))</f>
        <v>#VALUE!</v>
      </c>
      <c r="AA15" s="166" t="e">
        <f>IF(B15="","",IF(OR(AD15="SINKABLE",AD15="CALL/SINK"),_xll.BDP($B15,AA$9,"fill=b","PRICING_SOURCE",$C$6,$AC15,$M$9,$M15,$N$9,$P15,$Q$10,$S15),_xll.BDP($B15,AA$9,"fill=b","PRICING_SOURCE",$C$6,$AC15,$M$9,$M15,$N$9,$P15,$Q$9,$S15)))</f>
        <v>#VALUE!</v>
      </c>
      <c r="AB15" s="150" t="str" cm="1">
        <f t="array" ref="AB15">IF(B15="","",IF(LEFT(_xlfn.SINGLE(_xll.BDP($B15,AB$9,"fill=b")),1)="#","-",_xll.BDP($B15,AB$9,"fill=b")))</f>
        <v>7/15/2024</v>
      </c>
      <c r="AC15" s="150" t="str">
        <f t="shared" si="6"/>
        <v>YLD FLAG=28</v>
      </c>
      <c r="AD15" s="150" t="str" cm="1">
        <f t="array" ref="AD15">IF(B15="","",_xll.BDP($B15,AD$9,"fill=b"))</f>
        <v>CALL/SINK</v>
      </c>
      <c r="AE15" s="256" cm="1">
        <f t="array" ref="AE15">IF(B15="","",IF(ISERROR(_xlfn.SINGLE(_xll.BDH(B15,"PX LAST",AN15,AN15,"DAYS=ALL","PRICING SOURCE",$C$6))*1),_xll.BDP(B15,"PAR AMT"),_xll.BDH(B15,"PX LAST",AN15,AN15,"DAYS=ALL","PRICING SOURCE",$C$6)))</f>
        <v>2300</v>
      </c>
      <c r="AF15" s="150" cm="1">
        <f t="array" ref="AF15">IF(B15="","",_xll.BDP($B15,AF$9,"fill=b"))</f>
        <v>9.57</v>
      </c>
      <c r="AG15" s="150"/>
      <c r="AH15" s="190" t="e">
        <f>IF(B15="","",IF($AD15="AT MATURITY",$AB15*1,_xll.BADDPERIODS(_xll.BDP($B15,"issue dt"),"numberofperiods",TRUNC(_xll.BDP($B15,"YRS_TO_LONGEST_AVG_LIFE","YLD_YTM_BID",AF15,"SETTLE_DT",U15,AC15),0),"per=y")+(ROUND(MOD(_xll.BDP(B15,"YRS_TO_LONGEST_AVG_LIFE","YLD_YTM_BID",AF15,"SETTLE_DT",U15,AC15),1)*360,0))))</f>
        <v>#VALUE!</v>
      </c>
      <c r="AI15" s="150" t="e" cm="1">
        <f t="array" ref="AI15">IF(B15="","",AF15-_xll.BInterpol(_xll.BDP(_xll.BDS("YCGT0372 Index","curve members","CURVE_DATE", $U15,"endcol=1","array=true"),"maturity")*1,_xll.BDH(_xll.BDS("YCGT0372 Index","curve members","CURVE_DATE", $U15,"endcol=1","array=true"),"yld cnv mid",$U15,$U15,"days=all"),AH15,"CUBIC","Extrapolate=LINEAR","SKIP=TRUE","SORT=TRUE","MultiX=Average"))</f>
        <v>#VALUE!</v>
      </c>
      <c r="AJ15" s="189" t="str">
        <f t="shared" si="2"/>
        <v/>
      </c>
      <c r="AK15" s="257" t="str" cm="1">
        <f t="array" ref="AK15">IF(B15="","",_xll.BDP($B15,AK$9,"fill=b"))</f>
        <v>550MM</v>
      </c>
      <c r="AL15" s="257" t="str" cm="1">
        <f t="array" ref="AL15">IF(B15="","",_xll.BDP($B15,AL$9,"fill=b"))</f>
        <v>0</v>
      </c>
      <c r="AM15" s="256" cm="1">
        <f t="array" ref="AM15">IF(B15="","",_xll.BDP($B15,AM$9,"fill=b"))</f>
        <v>2300</v>
      </c>
      <c r="AN15" s="150" t="str" cm="1">
        <f t="array" ref="AN15">IF(B15="","",_xll.BDP($B15,AN$9,"fill=b"))</f>
        <v>6/15/2010</v>
      </c>
      <c r="AO15" s="150" t="str" cm="1">
        <f t="array" ref="AO15">IF(B15="","",IF(LEFT(_xlfn.SINGLE(_xll.BDP($B15,AO$9,"fill=b")),1)="#","-",_xll.BDP($B15,AO$9,"fill=b")))</f>
        <v>JOINT LEADS</v>
      </c>
      <c r="AP15" s="150" t="str" cm="1">
        <f t="array" ref="AP15">IF(B15="","",_xll.BDP($B15,AP$9,"fill=b"))</f>
        <v>Industrial</v>
      </c>
      <c r="AQ15" s="150" t="str" cm="1">
        <f t="array" ref="AQ15">IF(B15="","",_xll.BDP($B15,AQ$9,"fill=b"))</f>
        <v>Transportation</v>
      </c>
      <c r="AR15" s="150" t="str" cm="1">
        <f t="array" ref="AR15">IF(B15="","",_xll.BDP($B15,AR$9,"fill=b"))</f>
        <v/>
      </c>
      <c r="AS15" s="150" t="str" cm="1">
        <f t="array" ref="AS15">IF(B15="","",_xll.BDP($B15,AS$9,"fill=b"))</f>
        <v>WR</v>
      </c>
      <c r="AT15" s="150" t="str" cm="1">
        <f t="array" ref="AT15">IF(B15="","",_xll.BDP($B15,AT$9,"fill=b"))</f>
        <v/>
      </c>
      <c r="AU15" s="258" t="str" cm="1">
        <f t="array" ref="AU15">IF(B15="","",_xll.BDP($B15,AU$9,"fill=b"))</f>
        <v>CPN = BZCLVLUE INDEX + 957 BPS.</v>
      </c>
    </row>
    <row r="16" spans="2:47" ht="15" x14ac:dyDescent="0.25">
      <c r="B16" s="232" t="s">
        <v>343</v>
      </c>
      <c r="C16" s="150" t="str" cm="1">
        <f t="array" ref="C16">IF(B16="","",_xll.BDP($B16,C$9,"fill=b"))</f>
        <v>ITAP13</v>
      </c>
      <c r="D16" s="150" t="str" cm="1">
        <f t="array" ref="D16">IF(B16="","",_xll.BDP($B16,D$9,"fill=b"))</f>
        <v>ITAPEB Float 04/20/17</v>
      </c>
      <c r="E16" s="150" t="str" cm="1">
        <f t="array" ref="E16">IF(B16="","",_xll.BDP($B16,E$9,"fill=b"))</f>
        <v>ITAPEBI G DE ENERGIA</v>
      </c>
      <c r="F16" s="150" t="str" cm="1">
        <f t="array" ref="F16">IF(B16="","",IF(LEFT(_xlfn.SINGLE(_xll.BDP($B16,F$9,"fill=b")),1)="#","-",_xll.BDP($B16,F$9,"fill=b")))</f>
        <v>IBE SM</v>
      </c>
      <c r="G16" s="150" t="str" cm="1">
        <f t="array" ref="G16">IF(B16="","",_xll.BDP($B16,G$9,"fill=b"))</f>
        <v>BRAZIL PERCENT DI</v>
      </c>
      <c r="H16" s="150" t="str" cm="1">
        <f t="array" ref="H16">IF(B16="","",_xll.BDP($B16,H$9,"fill=b"))</f>
        <v>OVRA BZDI *111.00000</v>
      </c>
      <c r="I16" s="150" t="str" cm="1">
        <f t="array" ref="I16">IF(LEFT(_xlfn.SINGLE(_xll.BDP(B16,"REFERENCE_INDEX")),1)="#",IF(LEFT(_xlfn.SINGLE(_xll.BDP(B16, "RESET_IDX"))&amp;" Index",1)="#","",_xlfn.SINGLE(_xll.BDP(B16, "RESET_IDX"))&amp;" Index"),_xll.BDP(B16,"REFERENCE_INDEX"))</f>
        <v>BZDIOVRA Index</v>
      </c>
      <c r="J16" s="150" cm="1">
        <f t="array" ref="J16">IF(I16="BZDIOVRA Index",IF(_xlfn.SINGLE(_xll.BDP(B16,"FLT_SPREAD"))/100=0,_xll.BDP(B16,"FLT_BENCH_MULTIPLIER"),_xlfn.SINGLE(_xll.BDP(B16,"FLT_SPREAD"))/100),"")</f>
        <v>111</v>
      </c>
      <c r="K16" s="150" t="str" cm="1">
        <f t="array" ref="K16">IF(B16="","",IF(LEFT(_xlfn.SINGLE(_xll.BDP($B16,K$9,"fill=b")),1)="#","-",_xll.BDP($B16,K$9,"fill=b")))</f>
        <v>-</v>
      </c>
      <c r="L16" s="233"/>
      <c r="M16" s="234" t="e">
        <f t="shared" si="3"/>
        <v>#VALUE!</v>
      </c>
      <c r="N16" s="252" t="e">
        <f>IF(B16="","",IF(R16="",IF(OR(AD16="SINKABLE",AD16="CALL/SINK"),_xll.BDP(B16,$N$9,$M$9,M16,"PRICING SOURCE",$C$6,"FILL=B"),_xll.BDP(B16,$N$9,$M$9,M16,"PRICING SOURCE",$C$6,"FILL=B")),IF(OR(AD16="SINKABLE",AD16="CALL/SINK"),_xll.BDP(B16,$N$9,$Q$10,S16,$M$9,M16,"PRICING SOURCE",$C$6,"FILL=B"),_xll.BDP(B16,$N$9,$Q$9,S16,$M$9,M16,"PRICING SOURCE",$C$6,"FILL=B"))))</f>
        <v>#VALUE!</v>
      </c>
      <c r="O16" s="235"/>
      <c r="P16" s="236" t="e">
        <f t="shared" si="4"/>
        <v>#VALUE!</v>
      </c>
      <c r="Q16" s="166" t="str">
        <f>IF(ISERROR((IF(OR(AD16="SINKABLE",AD16="CALL/SINK"),_xll.BDP($B16,$Q$10,"fill=b","PRICING_SOURCE",$C$6,$AC16,$N$9,$P16,$M$9,$M16),_xll.BDP($B16,Q$9,"fill=b","PRICING_SOURCE",$C$6,$AC16,$N$9,$P16,$M$9,$M16)))*1),"",IF(OR(AD16="SINKABLE",AD16="CALL/SINK"),_xll.BDP($B16,$Q$10,"fill=b","PRICING_SOURCE",$C$6,$AC16,$N$9,$P16,$M$9,$M16),_xll.BDP($B16,Q$9,"fill=b","PRICING_SOURCE",$C$6,$AC16,$N$9,$P16,$M$9,$M16)))</f>
        <v/>
      </c>
      <c r="R16" s="237"/>
      <c r="S16" s="238" t="str">
        <f t="shared" si="5"/>
        <v/>
      </c>
      <c r="T16" s="239" t="str" cm="1">
        <f t="array" ref="T16">IF(ISERROR((_xlfn.SINGLE(IF(OR(AD16="SINKABLE",AD16="CALL/SINK"),_xll.BDP($B16,$Q$10,"fill=b","PRICING_SOURCE",$C$6,$AC16,$M$9,$U16,"px ask",$AE16),_xll.BDP($B16,Q$9,"fill=b","PRICING_SOURCE",$C$6,$AC16,$M$9,$U16,"px ask",$AE16))))*1),"",IF(OR(AD16="SINKABLE",AD16="CALL/SINK"),_xll.BDP($B16,$Q$10,"fill=b","PRICING_SOURCE",$C$6,$AC16,$M$9,$U16,"px ask",$AE16),_xll.BDP($B16,Q$9,"fill=b","PRICING_SOURCE",$C$6,$AC16,$M$9,$U16,"px ask",$AE16)))</f>
        <v/>
      </c>
      <c r="U16" s="240" t="str">
        <f t="shared" si="0"/>
        <v>20110420</v>
      </c>
      <c r="V16" s="254" t="e" cm="1">
        <f t="array" ref="V16">IF(B16="","",IF(I16="BZDIOVRA Index",IF(OR(AD16="SINKABLE",AD16="CALL/SINK"),_xll.BDP($B16,"PX_ASK",$Q$10,J16,$M$9,M16),_xll.BDP($B16,"PX_"&amp;$H$7,$Q$9,J16,$M$9,M16)),_xll.BDP($B16,"PX_"&amp;$H$7,$Q$9,_xll.BDP(B16,"CPN"),$M$9,M16)))</f>
        <v>#VALUE!</v>
      </c>
      <c r="W16" s="254" t="str">
        <f t="shared" si="1"/>
        <v/>
      </c>
      <c r="X16" s="166" t="e">
        <f>IF(B16="","",IF(OR(AD16="SINKABLE",AD16="CALL/SINK"),_xll.BDP($B16,X$9,"fill=b","PRICING_SOURCE",$C$6,$AC16,$M$9,$M16,$N$9,$P16,$Q$10,$S16),_xll.BDP($B16,X$9,"fill=b","PRICING_SOURCE",$C$6,$AC16,$M$9,$M16,$N$9,$P16,$Q$9,$S16)))</f>
        <v>#VALUE!</v>
      </c>
      <c r="Y16" s="166" t="e">
        <f>IF(B16="","",IF(OR(AD16="SINKABLE",AD16="CALL/SINK"),_xll.BDP($B16,Y$9,"fill=b","PRICING_SOURCE",$C$6,$AC16,$M$9,$M16,$N$9,$P16,$Q$10,$S16),_xll.BDP($B16,Y$9,"fill=b","PRICING_SOURCE",$C$6,$AC16,$M$9,$M16,$N$9,$P16,$Q$9,$S16)))</f>
        <v>#VALUE!</v>
      </c>
      <c r="Z16" s="255" t="e">
        <f>IF(B16="","",IF(OR(AD16="SINKABLE",AD16="CALL/SINK"),_xll.BDP($B16,Z$9,"fill=b","PRICING_SOURCE",$C$6,$AC16,$M$9,$M16,$N$9,$P16,$Q$10,$S16),_xll.BDP($B16,Z$9,"fill=b","PRICING_SOURCE",$C$6,$AC16,$M$9,$M16,$N$9,$P16,$Q$9,$S16)))</f>
        <v>#VALUE!</v>
      </c>
      <c r="AA16" s="166" t="e">
        <f>IF(B16="","",IF(OR(AD16="SINKABLE",AD16="CALL/SINK"),_xll.BDP($B16,AA$9,"fill=b","PRICING_SOURCE",$C$6,$AC16,$M$9,$M16,$N$9,$P16,$Q$10,$S16),_xll.BDP($B16,AA$9,"fill=b","PRICING_SOURCE",$C$6,$AC16,$M$9,$M16,$N$9,$P16,$Q$9,$S16)))</f>
        <v>#VALUE!</v>
      </c>
      <c r="AB16" s="150" t="str" cm="1">
        <f t="array" ref="AB16">IF(B16="","",IF(LEFT(_xlfn.SINGLE(_xll.BDP($B16,AB$9,"fill=b")),1)="#","-",_xll.BDP($B16,AB$9,"fill=b")))</f>
        <v>4/20/2017</v>
      </c>
      <c r="AC16" s="150" t="str">
        <f t="shared" si="6"/>
        <v>YLD FLAG=28</v>
      </c>
      <c r="AD16" s="150" t="str" cm="1">
        <f t="array" ref="AD16">IF(B16="","",_xll.BDP($B16,AD$9,"fill=b"))</f>
        <v>SINKABLE</v>
      </c>
      <c r="AE16" s="256" cm="1">
        <f t="array" ref="AE16">IF(B16="","",IF(ISERROR(_xlfn.SINGLE(_xll.BDH(B16,"PX LAST",AN16,AN16,"DAYS=ALL","PRICING SOURCE",$C$6))*1),_xll.BDP(B16,"PAR AMT"),_xll.BDH(B16,"PX LAST",AN16,AN16,"DAYS=ALL","PRICING SOURCE",$C$6)))</f>
        <v>2000</v>
      </c>
      <c r="AF16" s="150" cm="1">
        <f t="array" ref="AF16">IF(B16="","",_xll.BDP($B16,AF$9,"fill=b"))</f>
        <v>6.9749079999999992</v>
      </c>
      <c r="AG16" s="150"/>
      <c r="AH16" s="190">
        <f>IF(B16="","",IF($AD16="AT MATURITY",$AB16*1,_xll.BADDPERIODS(_xll.BDP($B16,"issue dt"),"numberofperiods",TRUNC(_xll.BDP($B16,"YRS_TO_LONGEST_AVG_LIFE","YLD_YTM_BID",AF16,"SETTLE_DT",U16,AC16),0),"per=y")+(ROUND(MOD(_xll.BDP(B16,"YRS_TO_LONGEST_AVG_LIFE","YLD_YTM_BID",AF16,"SETTLE_DT",U16,AC16),1)*360,0))))</f>
        <v>42481</v>
      </c>
      <c r="AI16" s="150" t="e" cm="1">
        <f t="array" ref="AI16">IF(B16="","",AF16-_xll.BInterpol(_xll.BDP(_xll.BDS("YCGT0372 Index","curve members","CURVE_DATE", $U16,"endcol=1","array=true"),"maturity")*1,_xll.BDH(_xll.BDS("YCGT0372 Index","curve members","CURVE_DATE", $U16,"endcol=1","array=true"),"yld cnv mid",$U16,$U16,"days=all"),AH16,"CUBIC","Extrapolate=LINEAR","SKIP=TRUE","SORT=TRUE","MultiX=Average"))</f>
        <v>#VALUE!</v>
      </c>
      <c r="AJ16" s="189">
        <f t="shared" si="2"/>
        <v>111</v>
      </c>
      <c r="AK16" s="257" t="str" cm="1">
        <f t="array" ref="AK16">IF(B16="","",_xll.BDP($B16,AK$9,"fill=b"))</f>
        <v>200MM</v>
      </c>
      <c r="AL16" s="257" t="str" cm="1">
        <f t="array" ref="AL16">IF(B16="","",_xll.BDP($B16,AL$9,"fill=b"))</f>
        <v>0</v>
      </c>
      <c r="AM16" s="256" cm="1">
        <f t="array" ref="AM16">IF(B16="","",_xll.BDP($B16,AM$9,"fill=b"))</f>
        <v>2000</v>
      </c>
      <c r="AN16" s="150" t="str" cm="1">
        <f t="array" ref="AN16">IF(B16="","",_xll.BDP($B16,AN$9,"fill=b"))</f>
        <v>4/20/2011</v>
      </c>
      <c r="AO16" s="150" t="str" cm="1">
        <f t="array" ref="AO16">IF(B16="","",IF(LEFT(_xlfn.SINGLE(_xll.BDP($B16,AO$9,"fill=b")),1)="#","-",_xll.BDP($B16,AO$9,"fill=b")))</f>
        <v>BCCITI</v>
      </c>
      <c r="AP16" s="150" t="str" cm="1">
        <f t="array" ref="AP16">IF(B16="","",_xll.BDP($B16,AP$9,"fill=b"))</f>
        <v>Utilities</v>
      </c>
      <c r="AQ16" s="150" t="str" cm="1">
        <f t="array" ref="AQ16">IF(B16="","",_xll.BDP($B16,AQ$9,"fill=b"))</f>
        <v>Electric</v>
      </c>
      <c r="AR16" s="150" t="str" cm="1">
        <f t="array" ref="AR16">IF(B16="","",_xll.BDP($B16,AR$9,"fill=b"))</f>
        <v>NR</v>
      </c>
      <c r="AS16" s="150" t="str" cm="1">
        <f t="array" ref="AS16">IF(B16="","",_xll.BDP($B16,AS$9,"fill=b"))</f>
        <v/>
      </c>
      <c r="AT16" s="150" t="str" cm="1">
        <f t="array" ref="AT16">IF(B16="","",_xll.BDP($B16,AT$9,"fill=b"))</f>
        <v/>
      </c>
      <c r="AU16" s="258" t="str" cm="1">
        <f t="array" ref="AU16">IF(B16="","",_xll.BDP($B16,AU$9,"fill=b"))</f>
        <v>CPN = 111% OF BZDIOVRA Index   /   ISSUED UNDER 476</v>
      </c>
    </row>
    <row r="17" spans="2:47" ht="15" x14ac:dyDescent="0.25">
      <c r="B17" s="232" t="s">
        <v>282</v>
      </c>
      <c r="C17" s="150" t="str" cm="1">
        <f t="array" ref="C17">IF(B17="","",_xll.BDP($B17,C$9,"fill=b"))</f>
        <v>CEAR23</v>
      </c>
      <c r="D17" s="150" t="str" cm="1">
        <f t="array" ref="D17">IF(B17="","",_xll.BDP($B17,D$9,"fill=b"))</f>
        <v>COELCE 6.85 10/15/18</v>
      </c>
      <c r="E17" s="150" t="str" cm="1">
        <f t="array" ref="E17">IF(B17="","",_xll.BDP($B17,E$9,"fill=b"))</f>
        <v>CIA ENERGETICA DO CEARA</v>
      </c>
      <c r="F17" s="150" t="str" cm="1">
        <f t="array" ref="F17">IF(B17="","",IF(LEFT(_xlfn.SINGLE(_xll.BDP($B17,F$9,"fill=b")),1)="#","-",_xll.BDP($B17,F$9,"fill=b")))</f>
        <v>ENEL IM</v>
      </c>
      <c r="G17" s="150" t="str" cm="1">
        <f t="array" ref="G17">IF(B17="","",_xll.BDP($B17,G$9,"fill=b"))</f>
        <v>BRAZIL IPCA+SPREAD</v>
      </c>
      <c r="H17" s="150" t="str" cm="1">
        <f t="array" ref="H17">IF(B17="","",_xll.BDP($B17,H$9,"fill=b"))</f>
        <v/>
      </c>
      <c r="I17" s="150" t="str" cm="1">
        <f t="array" ref="I17">IF(LEFT(_xlfn.SINGLE(_xll.BDP(B17,"REFERENCE_INDEX")),1)="#",IF(LEFT(_xlfn.SINGLE(_xll.BDP(B17, "RESET_IDX"))&amp;" Index",1)="#","",_xlfn.SINGLE(_xll.BDP(B17, "RESET_IDX"))&amp;" Index"),_xll.BDP(B17,"REFERENCE_INDEX"))</f>
        <v>BZCLVLUE Index</v>
      </c>
      <c r="J17" s="150" t="str">
        <f>IF(I17="BZDIOVRA Index",IF(_xll.BDP(B17,"FLT_SPREAD")/100=0,_xll.BDP(B17,"FLT_BENCH_MULTIPLIER"),_xll.BDP(B17,"FLT_SPREAD")/100),"")</f>
        <v/>
      </c>
      <c r="K17" s="150" t="str" cm="1">
        <f t="array" ref="K17">IF(B17="","",IF(LEFT(_xlfn.SINGLE(_xll.BDP($B17,K$9,"fill=b")),1)="#","-",_xll.BDP($B17,K$9,"fill=b")))</f>
        <v>-</v>
      </c>
      <c r="L17" s="233"/>
      <c r="M17" s="234" t="e">
        <f t="shared" si="3"/>
        <v>#VALUE!</v>
      </c>
      <c r="N17" s="252" t="e">
        <f>IF(B17="","",IF(R17="",IF(OR(AD17="SINKABLE",AD17="CALL/SINK"),_xll.BDP(B17,$N$9,$M$9,M17,"PRICING SOURCE",$C$6,"FILL=B"),_xll.BDP(B17,$N$9,$M$9,M17,"PRICING SOURCE",$C$6,"FILL=B")),IF(OR(AD17="SINKABLE",AD17="CALL/SINK"),_xll.BDP(B17,$N$9,$Q$10,S17,$M$9,M17,"PRICING SOURCE",$C$6,"FILL=B"),_xll.BDP(B17,$N$9,$Q$9,S17,$M$9,M17,"PRICING SOURCE",$C$6,"FILL=B"))))</f>
        <v>#VALUE!</v>
      </c>
      <c r="O17" s="235"/>
      <c r="P17" s="236" t="e">
        <f t="shared" si="4"/>
        <v>#VALUE!</v>
      </c>
      <c r="Q17" s="166" t="str">
        <f>IF(ISERROR((IF(OR(AD17="SINKABLE",AD17="CALL/SINK"),_xll.BDP($B17,$Q$10,"fill=b","PRICING_SOURCE",$C$6,$AC17,$N$9,$P17,$M$9,$M17),_xll.BDP($B17,Q$9,"fill=b","PRICING_SOURCE",$C$6,$AC17,$N$9,$P17,$M$9,$M17)))*1),"",IF(OR(AD17="SINKABLE",AD17="CALL/SINK"),_xll.BDP($B17,$Q$10,"fill=b","PRICING_SOURCE",$C$6,$AC17,$N$9,$P17,$M$9,$M17),_xll.BDP($B17,Q$9,"fill=b","PRICING_SOURCE",$C$6,$AC17,$N$9,$P17,$M$9,$M17)))</f>
        <v/>
      </c>
      <c r="R17" s="237"/>
      <c r="S17" s="238" t="str">
        <f t="shared" si="5"/>
        <v/>
      </c>
      <c r="T17" s="239" cm="1">
        <f t="array" ref="T17">IF(ISERROR((_xlfn.SINGLE(IF(OR(AD17="SINKABLE",AD17="CALL/SINK"),_xll.BDP($B17,$Q$10,"fill=b","PRICING_SOURCE",$C$6,$AC17,$M$9,$U17,"px ask",$AE17),_xll.BDP($B17,Q$9,"fill=b","PRICING_SOURCE",$C$6,$AC17,$M$9,$U17,"px ask",$AE17))))*1),"",IF(OR(AD17="SINKABLE",AD17="CALL/SINK"),_xll.BDP($B17,$Q$10,"fill=b","PRICING_SOURCE",$C$6,$AC17,$M$9,$U17,"px ask",$AE17),_xll.BDP($B17,Q$9,"fill=b","PRICING_SOURCE",$C$6,$AC17,$M$9,$U17,"px ask",$AE17)))</f>
        <v>89.327353807382451</v>
      </c>
      <c r="U17" s="240" t="str">
        <f t="shared" si="0"/>
        <v>20111015</v>
      </c>
      <c r="V17" s="254" t="e" cm="1">
        <f t="array" ref="V17">IF(B17="","",IF(I17="BZDIOVRA Index",IF(OR(AD17="SINKABLE",AD17="CALL/SINK"),_xll.BDP($B17,"PX_ASK",$Q$10,J17,$M$9,M17),_xll.BDP($B17,"PX_"&amp;$H$7,$Q$9,J17,$M$9,M17)),_xll.BDP($B17,"PX_"&amp;$H$7,$Q$9,_xll.BDP(B17,"CPN"),$M$9,M17)))</f>
        <v>#VALUE!</v>
      </c>
      <c r="W17" s="254" t="str">
        <f t="shared" si="1"/>
        <v/>
      </c>
      <c r="X17" s="166" t="e">
        <f>IF(B17="","",IF(OR(AD17="SINKABLE",AD17="CALL/SINK"),_xll.BDP($B17,X$9,"fill=b","PRICING_SOURCE",$C$6,$AC17,$M$9,$M17,$N$9,$P17,$Q$10,$S17),_xll.BDP($B17,X$9,"fill=b","PRICING_SOURCE",$C$6,$AC17,$M$9,$M17,$N$9,$P17,$Q$9,$S17)))</f>
        <v>#VALUE!</v>
      </c>
      <c r="Y17" s="166" t="e">
        <f>IF(B17="","",IF(OR(AD17="SINKABLE",AD17="CALL/SINK"),_xll.BDP($B17,Y$9,"fill=b","PRICING_SOURCE",$C$6,$AC17,$M$9,$M17,$N$9,$P17,$Q$10,$S17),_xll.BDP($B17,Y$9,"fill=b","PRICING_SOURCE",$C$6,$AC17,$M$9,$M17,$N$9,$P17,$Q$9,$S17)))</f>
        <v>#VALUE!</v>
      </c>
      <c r="Z17" s="255" t="e">
        <f>IF(B17="","",IF(OR(AD17="SINKABLE",AD17="CALL/SINK"),_xll.BDP($B17,Z$9,"fill=b","PRICING_SOURCE",$C$6,$AC17,$M$9,$M17,$N$9,$P17,$Q$10,$S17),_xll.BDP($B17,Z$9,"fill=b","PRICING_SOURCE",$C$6,$AC17,$M$9,$M17,$N$9,$P17,$Q$9,$S17)))</f>
        <v>#VALUE!</v>
      </c>
      <c r="AA17" s="166" t="e">
        <f>IF(B17="","",IF(OR(AD17="SINKABLE",AD17="CALL/SINK"),_xll.BDP($B17,AA$9,"fill=b","PRICING_SOURCE",$C$6,$AC17,$M$9,$M17,$N$9,$P17,$Q$10,$S17),_xll.BDP($B17,AA$9,"fill=b","PRICING_SOURCE",$C$6,$AC17,$M$9,$M17,$N$9,$P17,$Q$9,$S17)))</f>
        <v>#VALUE!</v>
      </c>
      <c r="AB17" s="150" t="str" cm="1">
        <f t="array" ref="AB17">IF(B17="","",IF(LEFT(_xlfn.SINGLE(_xll.BDP($B17,AB$9,"fill=b")),1)="#","-",_xll.BDP($B17,AB$9,"fill=b")))</f>
        <v>10/15/2018</v>
      </c>
      <c r="AC17" s="150" t="str">
        <f t="shared" si="6"/>
        <v>YLD FLAG=28</v>
      </c>
      <c r="AD17" s="150" t="str" cm="1">
        <f t="array" ref="AD17">IF(B17="","",_xll.BDP($B17,AD$9,"fill=b"))</f>
        <v>SINKABLE</v>
      </c>
      <c r="AE17" s="256" cm="1">
        <f t="array" ref="AE17">IF(B17="","",IF(ISERROR(_xlfn.SINGLE(_xll.BDH(B17,"PX LAST",AN17,AN17,"DAYS=ALL","PRICING SOURCE",$C$6))*1),_xll.BDP(B17,"PAR AMT"),_xll.BDH(B17,"PX LAST",AN17,AN17,"DAYS=ALL","PRICING SOURCE",$C$6)))</f>
        <v>3333.4</v>
      </c>
      <c r="AF17" s="150" cm="1">
        <f t="array" ref="AF17">IF(B17="","",_xll.BDP($B17,AF$9,"fill=b"))</f>
        <v>6.85</v>
      </c>
      <c r="AG17" s="150"/>
      <c r="AH17" s="190" t="e">
        <f>IF(B17="","",IF($AD17="AT MATURITY",$AB17*1,_xll.BADDPERIODS(_xll.BDP($B17,"issue dt"),"numberofperiods",TRUNC(_xll.BDP($B17,"YRS_TO_LONGEST_AVG_LIFE","YLD_YTM_BID",AF17,"SETTLE_DT",U17,AC17),0),"per=y")+(ROUND(MOD(_xll.BDP(B17,"YRS_TO_LONGEST_AVG_LIFE","YLD_YTM_BID",AF17,"SETTLE_DT",U17,AC17),1)*360,0))))</f>
        <v>#VALUE!</v>
      </c>
      <c r="AI17" s="150" t="e" cm="1">
        <f t="array" ref="AI17">IF(B17="","",AF17-_xll.BInterpol(_xll.BDP(_xll.BDS("YCGT0372 Index","curve members","CURVE_DATE", $U17,"endcol=1","array=true"),"maturity")*1,_xll.BDH(_xll.BDS("YCGT0372 Index","curve members","CURVE_DATE", $U17,"endcol=1","array=true"),"yld cnv mid",$U17,$U17,"days=all"),AH17,"CUBIC","Extrapolate=LINEAR","SKIP=TRUE","SORT=TRUE","MultiX=Average"))</f>
        <v>#VALUE!</v>
      </c>
      <c r="AJ17" s="189" t="str">
        <f t="shared" si="2"/>
        <v/>
      </c>
      <c r="AK17" s="257" t="str" cm="1">
        <f t="array" ref="AK17">IF(B17="","",_xll.BDP($B17,AK$9,"fill=b"))</f>
        <v>296MM</v>
      </c>
      <c r="AL17" s="257" t="str" cm="1">
        <f t="array" ref="AL17">IF(B17="","",_xll.BDP($B17,AL$9,"fill=b"))</f>
        <v>0</v>
      </c>
      <c r="AM17" s="256" cm="1">
        <f t="array" ref="AM17">IF(B17="","",_xll.BDP($B17,AM$9,"fill=b"))</f>
        <v>3333.4</v>
      </c>
      <c r="AN17" s="150" t="str" cm="1">
        <f t="array" ref="AN17">IF(B17="","",_xll.BDP($B17,AN$9,"fill=b"))</f>
        <v>10/15/2011</v>
      </c>
      <c r="AO17" s="150" t="str" cm="1">
        <f t="array" ref="AO17">IF(B17="","",IF(LEFT(_xlfn.SINGLE(_xll.BDP($B17,AO$9,"fill=b")),1)="#","-",_xll.BDP($B17,AO$9,"fill=b")))</f>
        <v>ITABBA,SANTAN</v>
      </c>
      <c r="AP17" s="150" t="str" cm="1">
        <f t="array" ref="AP17">IF(B17="","",_xll.BDP($B17,AP$9,"fill=b"))</f>
        <v>Utilities</v>
      </c>
      <c r="AQ17" s="150" t="str" cm="1">
        <f t="array" ref="AQ17">IF(B17="","",_xll.BDP($B17,AQ$9,"fill=b"))</f>
        <v>Electric</v>
      </c>
      <c r="AR17" s="150" t="str" cm="1">
        <f t="array" ref="AR17">IF(B17="","",_xll.BDP($B17,AR$9,"fill=b"))</f>
        <v>NR</v>
      </c>
      <c r="AS17" s="150" t="str" cm="1">
        <f t="array" ref="AS17">IF(B17="","",_xll.BDP($B17,AS$9,"fill=b"))</f>
        <v/>
      </c>
      <c r="AT17" s="150" t="str" cm="1">
        <f t="array" ref="AT17">IF(B17="","",_xll.BDP($B17,AT$9,"fill=b"))</f>
        <v/>
      </c>
      <c r="AU17" s="258" t="str" cm="1">
        <f t="array" ref="AU17">IF(B17="","",_xll.BDP($B17,AU$9,"fill=b"))</f>
        <v>CPN = BZCLVLUE INDEX + 685 BPS / ISSUED  UNDER 476</v>
      </c>
    </row>
    <row r="18" spans="2:47" ht="15" x14ac:dyDescent="0.25">
      <c r="B18" s="232" t="s">
        <v>333</v>
      </c>
      <c r="C18" s="150" t="str" cm="1">
        <f t="array" ref="C18">IF(B18="","",_xll.BDP($B18,C$9,"fill=b"))</f>
        <v>FLRY11</v>
      </c>
      <c r="D18" s="150" t="str" cm="1">
        <f t="array" ref="D18">IF(B18="","",_xll.BDP($B18,D$9,"fill=b"))</f>
        <v>FLRYSA Float 12/12/16</v>
      </c>
      <c r="E18" s="150" t="str" cm="1">
        <f t="array" ref="E18">IF(B18="","",_xll.BDP($B18,E$9,"fill=b"))</f>
        <v>FLEURY SA</v>
      </c>
      <c r="F18" s="150" t="str" cm="1">
        <f t="array" ref="F18">IF(B18="","",IF(LEFT(_xlfn.SINGLE(_xll.BDP($B18,F$9,"fill=b")),1)="#","-",_xll.BDP($B18,F$9,"fill=b")))</f>
        <v>FLRY3 BZ</v>
      </c>
      <c r="G18" s="150" t="str" cm="1">
        <f t="array" ref="G18">IF(B18="","",_xll.BDP($B18,G$9,"fill=b"))</f>
        <v>BRAZIL DI+SPREAD</v>
      </c>
      <c r="H18" s="150" t="str" cm="1">
        <f t="array" ref="H18">IF(B18="","",_xll.BDP($B18,H$9,"fill=b"))</f>
        <v>OVRA BZDI +94.000</v>
      </c>
      <c r="I18" s="150" t="str" cm="1">
        <f t="array" ref="I18">IF(LEFT(_xlfn.SINGLE(_xll.BDP(B18,"REFERENCE_INDEX")),1)="#",IF(LEFT(_xlfn.SINGLE(_xll.BDP(B18, "RESET_IDX"))&amp;" Index",1)="#","",_xlfn.SINGLE(_xll.BDP(B18, "RESET_IDX"))&amp;" Index"),_xll.BDP(B18,"REFERENCE_INDEX"))</f>
        <v>BZDIOVRA Index</v>
      </c>
      <c r="J18" s="150" cm="1">
        <f t="array" ref="J18">IF(I18="BZDIOVRA Index",IF(_xlfn.SINGLE(_xll.BDP(B18,"FLT_SPREAD"))/100=0,_xll.BDP(B18,"FLT_BENCH_MULTIPLIER"),_xlfn.SINGLE(_xll.BDP(B18,"FLT_SPREAD"))/100),"")</f>
        <v>0.94</v>
      </c>
      <c r="K18" s="150" t="str" cm="1">
        <f t="array" ref="K18">IF(B18="","",IF(LEFT(_xlfn.SINGLE(_xll.BDP($B18,K$9,"fill=b")),1)="#","-",_xll.BDP($B18,K$9,"fill=b")))</f>
        <v>-</v>
      </c>
      <c r="L18" s="233"/>
      <c r="M18" s="234" t="e">
        <f t="shared" si="3"/>
        <v>#VALUE!</v>
      </c>
      <c r="N18" s="252" t="e">
        <f>IF(B18="","",IF(R18="",IF(OR(AD18="SINKABLE",AD18="CALL/SINK"),_xll.BDP(B18,$N$9,$M$9,M18,"PRICING SOURCE",$C$6,"FILL=B"),_xll.BDP(B18,$N$9,$M$9,M18,"PRICING SOURCE",$C$6,"FILL=B")),IF(OR(AD18="SINKABLE",AD18="CALL/SINK"),_xll.BDP(B18,$N$9,$Q$10,S18,$M$9,M18,"PRICING SOURCE",$C$6,"FILL=B"),_xll.BDP(B18,$N$9,$Q$9,S18,$M$9,M18,"PRICING SOURCE",$C$6,"FILL=B"))))</f>
        <v>#VALUE!</v>
      </c>
      <c r="O18" s="235"/>
      <c r="P18" s="236" t="e">
        <f t="shared" si="4"/>
        <v>#VALUE!</v>
      </c>
      <c r="Q18" s="166" t="str">
        <f>IF(ISERROR((IF(OR(AD18="SINKABLE",AD18="CALL/SINK"),_xll.BDP($B18,$Q$10,"fill=b","PRICING_SOURCE",$C$6,$AC18,$N$9,$P18,$M$9,$M18),_xll.BDP($B18,Q$9,"fill=b","PRICING_SOURCE",$C$6,$AC18,$N$9,$P18,$M$9,$M18)))*1),"",IF(OR(AD18="SINKABLE",AD18="CALL/SINK"),_xll.BDP($B18,$Q$10,"fill=b","PRICING_SOURCE",$C$6,$AC18,$N$9,$P18,$M$9,$M18),_xll.BDP($B18,Q$9,"fill=b","PRICING_SOURCE",$C$6,$AC18,$N$9,$P18,$M$9,$M18)))</f>
        <v/>
      </c>
      <c r="R18" s="237"/>
      <c r="S18" s="238" t="str">
        <f t="shared" si="5"/>
        <v/>
      </c>
      <c r="T18" s="239" cm="1">
        <f t="array" ref="T18">IF(ISERROR((_xlfn.SINGLE(IF(OR(AD18="SINKABLE",AD18="CALL/SINK"),_xll.BDP($B18,$Q$10,"fill=b","PRICING_SOURCE",$C$6,$AC18,$M$9,$U18,"px ask",$AE18),_xll.BDP($B18,Q$9,"fill=b","PRICING_SOURCE",$C$6,$AC18,$M$9,$U18,"px ask",$AE18))))*1),"",IF(OR(AD18="SINKABLE",AD18="CALL/SINK"),_xll.BDP($B18,$Q$10,"fill=b","PRICING_SOURCE",$C$6,$AC18,$M$9,$U18,"px ask",$AE18),_xll.BDP($B18,Q$9,"fill=b","PRICING_SOURCE",$C$6,$AC18,$M$9,$U18,"px ask",$AE18)))</f>
        <v>45.755482753513263</v>
      </c>
      <c r="U18" s="240" t="str">
        <f t="shared" si="0"/>
        <v>20111212</v>
      </c>
      <c r="V18" s="254" t="e" cm="1">
        <f t="array" ref="V18">IF(B18="","",IF(I18="BZDIOVRA Index",IF(OR(AD18="SINKABLE",AD18="CALL/SINK"),_xll.BDP($B18,"PX_ASK",$Q$10,J18,$M$9,M18),_xll.BDP($B18,"PX_"&amp;$H$7,$Q$9,J18,$M$9,M18)),_xll.BDP($B18,"PX_"&amp;$H$7,$Q$9,_xll.BDP(B18,"CPN"),$M$9,M18)))</f>
        <v>#VALUE!</v>
      </c>
      <c r="W18" s="254" t="str">
        <f t="shared" si="1"/>
        <v/>
      </c>
      <c r="X18" s="166" t="e">
        <f>IF(B18="","",IF(OR(AD18="SINKABLE",AD18="CALL/SINK"),_xll.BDP($B18,X$9,"fill=b","PRICING_SOURCE",$C$6,$AC18,$M$9,$M18,$N$9,$P18,$Q$10,$S18),_xll.BDP($B18,X$9,"fill=b","PRICING_SOURCE",$C$6,$AC18,$M$9,$M18,$N$9,$P18,$Q$9,$S18)))</f>
        <v>#VALUE!</v>
      </c>
      <c r="Y18" s="166" t="e">
        <f>IF(B18="","",IF(OR(AD18="SINKABLE",AD18="CALL/SINK"),_xll.BDP($B18,Y$9,"fill=b","PRICING_SOURCE",$C$6,$AC18,$M$9,$M18,$N$9,$P18,$Q$10,$S18),_xll.BDP($B18,Y$9,"fill=b","PRICING_SOURCE",$C$6,$AC18,$M$9,$M18,$N$9,$P18,$Q$9,$S18)))</f>
        <v>#VALUE!</v>
      </c>
      <c r="Z18" s="255" t="e">
        <f>IF(B18="","",IF(OR(AD18="SINKABLE",AD18="CALL/SINK"),_xll.BDP($B18,Z$9,"fill=b","PRICING_SOURCE",$C$6,$AC18,$M$9,$M18,$N$9,$P18,$Q$10,$S18),_xll.BDP($B18,Z$9,"fill=b","PRICING_SOURCE",$C$6,$AC18,$M$9,$M18,$N$9,$P18,$Q$9,$S18)))</f>
        <v>#VALUE!</v>
      </c>
      <c r="AA18" s="166" t="e">
        <f>IF(B18="","",IF(OR(AD18="SINKABLE",AD18="CALL/SINK"),_xll.BDP($B18,AA$9,"fill=b","PRICING_SOURCE",$C$6,$AC18,$M$9,$M18,$N$9,$P18,$Q$10,$S18),_xll.BDP($B18,AA$9,"fill=b","PRICING_SOURCE",$C$6,$AC18,$M$9,$M18,$N$9,$P18,$Q$9,$S18)))</f>
        <v>#VALUE!</v>
      </c>
      <c r="AB18" s="150" t="str" cm="1">
        <f t="array" ref="AB18">IF(B18="","",IF(LEFT(_xlfn.SINGLE(_xll.BDP($B18,AB$9,"fill=b")),1)="#","-",_xll.BDP($B18,AB$9,"fill=b")))</f>
        <v>12/12/2016</v>
      </c>
      <c r="AC18" s="150" t="str">
        <f t="shared" si="6"/>
        <v>YLD FLAG=28</v>
      </c>
      <c r="AD18" s="150" t="str" cm="1">
        <f t="array" ref="AD18">IF(B18="","",_xll.BDP($B18,AD$9,"fill=b"))</f>
        <v>SINKABLE</v>
      </c>
      <c r="AE18" s="256" cm="1">
        <f t="array" ref="AE18">IF(B18="","",IF(ISERROR(_xlfn.SINGLE(_xll.BDH(B18,"PX LAST",AN18,AN18,"DAYS=ALL","PRICING SOURCE",$C$6))*1),_xll.BDP(B18,"PAR AMT"),_xll.BDH(B18,"PX LAST",AN18,AN18,"DAYS=ALL","PRICING SOURCE",$C$6)))</f>
        <v>3333.4</v>
      </c>
      <c r="AF18" s="150" cm="1">
        <f t="array" ref="AF18">IF(B18="","",_xll.BDP($B18,AF$9,"fill=b"))</f>
        <v>7.2933140930000002</v>
      </c>
      <c r="AG18" s="150"/>
      <c r="AH18" s="190">
        <f>IF(B18="","",IF($AD18="AT MATURITY",$AB18*1,_xll.BADDPERIODS(_xll.BDP($B18,"issue dt"),"numberofperiods",TRUNC(_xll.BDP($B18,"YRS_TO_LONGEST_AVG_LIFE","YLD_YTM_BID",AF18,"SETTLE_DT",U18,AC18),0),"per=y")+(ROUND(MOD(_xll.BDP(B18,"YRS_TO_LONGEST_AVG_LIFE","YLD_YTM_BID",AF18,"SETTLE_DT",U18,AC18),1)*360,0))))</f>
        <v>42354</v>
      </c>
      <c r="AI18" s="150" t="e" cm="1">
        <f t="array" ref="AI18">IF(B18="","",AF18-_xll.BInterpol(_xll.BDP(_xll.BDS("YCGT0372 Index","curve members","CURVE_DATE", $U18,"endcol=1","array=true"),"maturity")*1,_xll.BDH(_xll.BDS("YCGT0372 Index","curve members","CURVE_DATE", $U18,"endcol=1","array=true"),"yld cnv mid",$U18,$U18,"days=all"),AH18,"CUBIC","Extrapolate=LINEAR","SKIP=TRUE","SORT=TRUE","MultiX=Average"))</f>
        <v>#VALUE!</v>
      </c>
      <c r="AJ18" s="189">
        <f t="shared" si="2"/>
        <v>0.94</v>
      </c>
      <c r="AK18" s="257" t="str" cm="1">
        <f t="array" ref="AK18">IF(B18="","",_xll.BDP($B18,AK$9,"fill=b"))</f>
        <v>150MM</v>
      </c>
      <c r="AL18" s="257" t="str" cm="1">
        <f t="array" ref="AL18">IF(B18="","",_xll.BDP($B18,AL$9,"fill=b"))</f>
        <v>0</v>
      </c>
      <c r="AM18" s="256" cm="1">
        <f t="array" ref="AM18">IF(B18="","",_xll.BDP($B18,AM$9,"fill=b"))</f>
        <v>3333.4</v>
      </c>
      <c r="AN18" s="150" t="str" cm="1">
        <f t="array" ref="AN18">IF(B18="","",_xll.BDP($B18,AN$9,"fill=b"))</f>
        <v>12/12/2011</v>
      </c>
      <c r="AO18" s="150" t="str" cm="1">
        <f t="array" ref="AO18">IF(B18="","",IF(LEFT(_xlfn.SINGLE(_xll.BDP($B18,AO$9,"fill=b")),1)="#","-",_xll.BDP($B18,AO$9,"fill=b")))</f>
        <v>BBBBI</v>
      </c>
      <c r="AP18" s="150" t="str" cm="1">
        <f t="array" ref="AP18">IF(B18="","",_xll.BDP($B18,AP$9,"fill=b"))</f>
        <v>Consumer, Non-cyclical</v>
      </c>
      <c r="AQ18" s="150" t="str" cm="1">
        <f t="array" ref="AQ18">IF(B18="","",_xll.BDP($B18,AQ$9,"fill=b"))</f>
        <v>Healthcare-Services</v>
      </c>
      <c r="AR18" s="150" t="str" cm="1">
        <f t="array" ref="AR18">IF(B18="","",_xll.BDP($B18,AR$9,"fill=b"))</f>
        <v/>
      </c>
      <c r="AS18" s="150" t="str" cm="1">
        <f t="array" ref="AS18">IF(B18="","",_xll.BDP($B18,AS$9,"fill=b"))</f>
        <v/>
      </c>
      <c r="AT18" s="150" t="str" cm="1">
        <f t="array" ref="AT18">IF(B18="","",_xll.BDP($B18,AT$9,"fill=b"))</f>
        <v/>
      </c>
      <c r="AU18" s="258" t="str" cm="1">
        <f t="array" ref="AU18">IF(B18="","",_xll.BDP($B18,AU$9,"fill=b"))</f>
        <v>CPN = BZDIOVRA INDEX + 94BPS / ISSUED UNDER 476</v>
      </c>
    </row>
    <row r="19" spans="2:47" ht="15" x14ac:dyDescent="0.25">
      <c r="B19" s="232" t="s">
        <v>335</v>
      </c>
      <c r="C19" s="150" t="str" cm="1">
        <f t="array" ref="C19">IF(B19="","",_xll.BDP($B19,C$9,"fill=b"))</f>
        <v>FLRY21</v>
      </c>
      <c r="D19" s="150" t="str" cm="1">
        <f t="array" ref="D19">IF(B19="","",_xll.BDP($B19,D$9,"fill=b"))</f>
        <v>FLRYSA Float 12/12/18</v>
      </c>
      <c r="E19" s="150" t="str" cm="1">
        <f t="array" ref="E19">IF(B19="","",_xll.BDP($B19,E$9,"fill=b"))</f>
        <v>FLEURY SA</v>
      </c>
      <c r="F19" s="150" t="str" cm="1">
        <f t="array" ref="F19">IF(B19="","",IF(LEFT(_xlfn.SINGLE(_xll.BDP($B19,F$9,"fill=b")),1)="#","-",_xll.BDP($B19,F$9,"fill=b")))</f>
        <v>FLRY3 BZ</v>
      </c>
      <c r="G19" s="150" t="str" cm="1">
        <f t="array" ref="G19">IF(B19="","",_xll.BDP($B19,G$9,"fill=b"))</f>
        <v>BRAZIL DI+SPREAD</v>
      </c>
      <c r="H19" s="150" t="str" cm="1">
        <f t="array" ref="H19">IF(B19="","",_xll.BDP($B19,H$9,"fill=b"))</f>
        <v>OVRA BZDI +120.000</v>
      </c>
      <c r="I19" s="150" t="str" cm="1">
        <f t="array" ref="I19">IF(LEFT(_xlfn.SINGLE(_xll.BDP(B19,"REFERENCE_INDEX")),1)="#",IF(LEFT(_xlfn.SINGLE(_xll.BDP(B19, "RESET_IDX"))&amp;" Index",1)="#","",_xlfn.SINGLE(_xll.BDP(B19, "RESET_IDX"))&amp;" Index"),_xll.BDP(B19,"REFERENCE_INDEX"))</f>
        <v>BZDIOVRA Index</v>
      </c>
      <c r="J19" s="150" cm="1">
        <f t="array" ref="J19">IF(I19="BZDIOVRA Index",IF(_xlfn.SINGLE(_xll.BDP(B19,"FLT_SPREAD"))/100=0,_xll.BDP(B19,"FLT_BENCH_MULTIPLIER"),_xlfn.SINGLE(_xll.BDP(B19,"FLT_SPREAD"))/100),"")</f>
        <v>1.2</v>
      </c>
      <c r="K19" s="150" t="str" cm="1">
        <f t="array" ref="K19">IF(B19="","",IF(LEFT(_xlfn.SINGLE(_xll.BDP($B19,K$9,"fill=b")),1)="#","-",_xll.BDP($B19,K$9,"fill=b")))</f>
        <v>-</v>
      </c>
      <c r="L19" s="233"/>
      <c r="M19" s="234" t="e">
        <f t="shared" si="3"/>
        <v>#VALUE!</v>
      </c>
      <c r="N19" s="252" t="e">
        <f>IF(B19="","",IF(R19="",IF(OR(AD19="SINKABLE",AD19="CALL/SINK"),_xll.BDP(B19,$N$9,$M$9,M19,"PRICING SOURCE",$C$6,"FILL=B"),_xll.BDP(B19,$N$9,$M$9,M19,"PRICING SOURCE",$C$6,"FILL=B")),IF(OR(AD19="SINKABLE",AD19="CALL/SINK"),_xll.BDP(B19,$N$9,$Q$10,S19,$M$9,M19,"PRICING SOURCE",$C$6,"FILL=B"),_xll.BDP(B19,$N$9,$Q$9,S19,$M$9,M19,"PRICING SOURCE",$C$6,"FILL=B"))))</f>
        <v>#VALUE!</v>
      </c>
      <c r="O19" s="235"/>
      <c r="P19" s="236" t="e">
        <f t="shared" si="4"/>
        <v>#VALUE!</v>
      </c>
      <c r="Q19" s="166" t="str">
        <f>IF(ISERROR((IF(OR(AD19="SINKABLE",AD19="CALL/SINK"),_xll.BDP($B19,$Q$10,"fill=b","PRICING_SOURCE",$C$6,$AC19,$N$9,$P19,$M$9,$M19),_xll.BDP($B19,Q$9,"fill=b","PRICING_SOURCE",$C$6,$AC19,$N$9,$P19,$M$9,$M19)))*1),"",IF(OR(AD19="SINKABLE",AD19="CALL/SINK"),_xll.BDP($B19,$Q$10,"fill=b","PRICING_SOURCE",$C$6,$AC19,$N$9,$P19,$M$9,$M19),_xll.BDP($B19,Q$9,"fill=b","PRICING_SOURCE",$C$6,$AC19,$N$9,$P19,$M$9,$M19)))</f>
        <v/>
      </c>
      <c r="R19" s="237"/>
      <c r="S19" s="238" t="str">
        <f t="shared" si="5"/>
        <v/>
      </c>
      <c r="T19" s="239" cm="1">
        <f t="array" ref="T19">IF(ISERROR((_xlfn.SINGLE(IF(OR(AD19="SINKABLE",AD19="CALL/SINK"),_xll.BDP($B19,$Q$10,"fill=b","PRICING_SOURCE",$C$6,$AC19,$M$9,$U19,"px ask",$AE19),_xll.BDP($B19,Q$9,"fill=b","PRICING_SOURCE",$C$6,$AC19,$M$9,$U19,"px ask",$AE19))))*1),"",IF(OR(AD19="SINKABLE",AD19="CALL/SINK"),_xll.BDP($B19,$Q$10,"fill=b","PRICING_SOURCE",$C$6,$AC19,$M$9,$U19,"px ask",$AE19),_xll.BDP($B19,Q$9,"fill=b","PRICING_SOURCE",$C$6,$AC19,$M$9,$U19,"px ask",$AE19)))</f>
        <v>34.606044517680544</v>
      </c>
      <c r="U19" s="240" t="str">
        <f t="shared" si="0"/>
        <v>20111212</v>
      </c>
      <c r="V19" s="254" t="e" cm="1">
        <f t="array" ref="V19">IF(B19="","",IF(I19="BZDIOVRA Index",IF(OR(AD19="SINKABLE",AD19="CALL/SINK"),_xll.BDP($B19,"PX_ASK",$Q$10,J19,$M$9,M19),_xll.BDP($B19,"PX_"&amp;$H$7,$Q$9,J19,$M$9,M19)),_xll.BDP($B19,"PX_"&amp;$H$7,$Q$9,_xll.BDP(B19,"CPN"),$M$9,M19)))</f>
        <v>#VALUE!</v>
      </c>
      <c r="W19" s="254" t="str">
        <f t="shared" si="1"/>
        <v/>
      </c>
      <c r="X19" s="166" t="e">
        <f>IF(B19="","",IF(OR(AD19="SINKABLE",AD19="CALL/SINK"),_xll.BDP($B19,X$9,"fill=b","PRICING_SOURCE",$C$6,$AC19,$M$9,$M19,$N$9,$P19,$Q$10,$S19),_xll.BDP($B19,X$9,"fill=b","PRICING_SOURCE",$C$6,$AC19,$M$9,$M19,$N$9,$P19,$Q$9,$S19)))</f>
        <v>#VALUE!</v>
      </c>
      <c r="Y19" s="166" t="e">
        <f>IF(B19="","",IF(OR(AD19="SINKABLE",AD19="CALL/SINK"),_xll.BDP($B19,Y$9,"fill=b","PRICING_SOURCE",$C$6,$AC19,$M$9,$M19,$N$9,$P19,$Q$10,$S19),_xll.BDP($B19,Y$9,"fill=b","PRICING_SOURCE",$C$6,$AC19,$M$9,$M19,$N$9,$P19,$Q$9,$S19)))</f>
        <v>#VALUE!</v>
      </c>
      <c r="Z19" s="255" t="e">
        <f>IF(B19="","",IF(OR(AD19="SINKABLE",AD19="CALL/SINK"),_xll.BDP($B19,Z$9,"fill=b","PRICING_SOURCE",$C$6,$AC19,$M$9,$M19,$N$9,$P19,$Q$10,$S19),_xll.BDP($B19,Z$9,"fill=b","PRICING_SOURCE",$C$6,$AC19,$M$9,$M19,$N$9,$P19,$Q$9,$S19)))</f>
        <v>#VALUE!</v>
      </c>
      <c r="AA19" s="166" t="e">
        <f>IF(B19="","",IF(OR(AD19="SINKABLE",AD19="CALL/SINK"),_xll.BDP($B19,AA$9,"fill=b","PRICING_SOURCE",$C$6,$AC19,$M$9,$M19,$N$9,$P19,$Q$10,$S19),_xll.BDP($B19,AA$9,"fill=b","PRICING_SOURCE",$C$6,$AC19,$M$9,$M19,$N$9,$P19,$Q$9,$S19)))</f>
        <v>#VALUE!</v>
      </c>
      <c r="AB19" s="150" t="str" cm="1">
        <f t="array" ref="AB19">IF(B19="","",IF(LEFT(_xlfn.SINGLE(_xll.BDP($B19,AB$9,"fill=b")),1)="#","-",_xll.BDP($B19,AB$9,"fill=b")))</f>
        <v>12/12/2018</v>
      </c>
      <c r="AC19" s="150" t="str">
        <f t="shared" si="6"/>
        <v>YLD FLAG=28</v>
      </c>
      <c r="AD19" s="150" t="str" cm="1">
        <f t="array" ref="AD19">IF(B19="","",_xll.BDP($B19,AD$9,"fill=b"))</f>
        <v>SINKABLE</v>
      </c>
      <c r="AE19" s="256" cm="1">
        <f t="array" ref="AE19">IF(B19="","",IF(ISERROR(_xlfn.SINGLE(_xll.BDH(B19,"PX LAST",AN19,AN19,"DAYS=ALL","PRICING SOURCE",$C$6))*1),_xll.BDP(B19,"PAR AMT"),_xll.BDH(B19,"PX LAST",AN19,AN19,"DAYS=ALL","PRICING SOURCE",$C$6)))</f>
        <v>3333.34</v>
      </c>
      <c r="AF19" s="150" cm="1">
        <f t="array" ref="AF19">IF(B19="","",_xll.BDP($B19,AF$9,"fill=b"))</f>
        <v>0</v>
      </c>
      <c r="AG19" s="150"/>
      <c r="AH19" s="190">
        <f>IF(B19="","",IF($AD19="AT MATURITY",$AB19*1,_xll.BADDPERIODS(_xll.BDP($B19,"issue dt"),"numberofperiods",TRUNC(_xll.BDP($B19,"YRS_TO_LONGEST_AVG_LIFE","YLD_YTM_BID",AF19,"SETTLE_DT",U19,AC19),0),"per=y")+(ROUND(MOD(_xll.BDP(B19,"YRS_TO_LONGEST_AVG_LIFE","YLD_YTM_BID",AF19,"SETTLE_DT",U19,AC19),1)*360,0))))</f>
        <v>43083</v>
      </c>
      <c r="AI19" s="150" t="e" cm="1">
        <f t="array" ref="AI19">IF(B19="","",AF19-_xll.BInterpol(_xll.BDP(_xll.BDS("YCGT0372 Index","curve members","CURVE_DATE", $U19,"endcol=1","array=true"),"maturity")*1,_xll.BDH(_xll.BDS("YCGT0372 Index","curve members","CURVE_DATE", $U19,"endcol=1","array=true"),"yld cnv mid",$U19,$U19,"days=all"),AH19,"CUBIC","Extrapolate=LINEAR","SKIP=TRUE","SORT=TRUE","MultiX=Average"))</f>
        <v>#VALUE!</v>
      </c>
      <c r="AJ19" s="189">
        <f t="shared" si="2"/>
        <v>1.2</v>
      </c>
      <c r="AK19" s="257" t="str" cm="1">
        <f t="array" ref="AK19">IF(B19="","",_xll.BDP($B19,AK$9,"fill=b"))</f>
        <v>300MM</v>
      </c>
      <c r="AL19" s="257" t="str" cm="1">
        <f t="array" ref="AL19">IF(B19="","",_xll.BDP($B19,AL$9,"fill=b"))</f>
        <v>0</v>
      </c>
      <c r="AM19" s="256" cm="1">
        <f t="array" ref="AM19">IF(B19="","",_xll.BDP($B19,AM$9,"fill=b"))</f>
        <v>3333.34</v>
      </c>
      <c r="AN19" s="150" t="str" cm="1">
        <f t="array" ref="AN19">IF(B19="","",_xll.BDP($B19,AN$9,"fill=b"))</f>
        <v>12/12/2011</v>
      </c>
      <c r="AO19" s="150" t="str" cm="1">
        <f t="array" ref="AO19">IF(B19="","",IF(LEFT(_xlfn.SINGLE(_xll.BDP($B19,AO$9,"fill=b")),1)="#","-",_xll.BDP($B19,AO$9,"fill=b")))</f>
        <v>BBBBI</v>
      </c>
      <c r="AP19" s="150" t="str" cm="1">
        <f t="array" ref="AP19">IF(B19="","",_xll.BDP($B19,AP$9,"fill=b"))</f>
        <v>Consumer, Non-cyclical</v>
      </c>
      <c r="AQ19" s="150" t="str" cm="1">
        <f t="array" ref="AQ19">IF(B19="","",_xll.BDP($B19,AQ$9,"fill=b"))</f>
        <v>Healthcare-Services</v>
      </c>
      <c r="AR19" s="150" t="str" cm="1">
        <f t="array" ref="AR19">IF(B19="","",_xll.BDP($B19,AR$9,"fill=b"))</f>
        <v/>
      </c>
      <c r="AS19" s="150" t="str" cm="1">
        <f t="array" ref="AS19">IF(B19="","",_xll.BDP($B19,AS$9,"fill=b"))</f>
        <v/>
      </c>
      <c r="AT19" s="150" t="str" cm="1">
        <f t="array" ref="AT19">IF(B19="","",_xll.BDP($B19,AT$9,"fill=b"))</f>
        <v/>
      </c>
      <c r="AU19" s="258" t="str" cm="1">
        <f t="array" ref="AU19">IF(B19="","",_xll.BDP($B19,AU$9,"fill=b"))</f>
        <v>CPN = BZDIOVRA INDEX + 120BPS / ISSUED UNDER 476</v>
      </c>
    </row>
    <row r="20" spans="2:47" ht="15" x14ac:dyDescent="0.25">
      <c r="B20" s="232" t="s">
        <v>314</v>
      </c>
      <c r="C20" s="150" t="str" cm="1">
        <f t="array" ref="C20">IF(B20="","",_xll.BDP($B20,C$9,"fill=b"))</f>
        <v>BRTO18</v>
      </c>
      <c r="D20" s="150" t="str" cm="1">
        <f t="array" ref="D20">IF(B20="","",_xll.BDP($B20,D$9,"fill=b"))</f>
        <v>OIBRBZ Float 12/28/18</v>
      </c>
      <c r="E20" s="150" t="str" cm="1">
        <f t="array" ref="E20">IF(B20="","",_xll.BDP($B20,E$9,"fill=b"))</f>
        <v>OI SA</v>
      </c>
      <c r="F20" s="150" t="str" cm="1">
        <f t="array" ref="F20">IF(B20="","",IF(LEFT(_xlfn.SINGLE(_xll.BDP($B20,F$9,"fill=b")),1)="#","-",_xll.BDP($B20,F$9,"fill=b")))</f>
        <v>OIBR4 BZ</v>
      </c>
      <c r="G20" s="150" t="str" cm="1">
        <f t="array" ref="G20">IF(B20="","",_xll.BDP($B20,G$9,"fill=b"))</f>
        <v>BRAZIL DI+SPREAD</v>
      </c>
      <c r="H20" s="150" t="str" cm="1">
        <f t="array" ref="H20">IF(B20="","",_xll.BDP($B20,H$9,"fill=b"))</f>
        <v>OVRA BZDI +115.000</v>
      </c>
      <c r="I20" s="150" t="str" cm="1">
        <f t="array" ref="I20">IF(LEFT(_xlfn.SINGLE(_xll.BDP(B20,"REFERENCE_INDEX")),1)="#",IF(LEFT(_xlfn.SINGLE(_xll.BDP(B20, "RESET_IDX"))&amp;" Index",1)="#","",_xlfn.SINGLE(_xll.BDP(B20, "RESET_IDX"))&amp;" Index"),_xll.BDP(B20,"REFERENCE_INDEX"))</f>
        <v>BZDIOVRA Index</v>
      </c>
      <c r="J20" s="150" cm="1">
        <f t="array" ref="J20">IF(I20="BZDIOVRA Index",IF(_xlfn.SINGLE(_xll.BDP(B20,"FLT_SPREAD"))/100=0,_xll.BDP(B20,"FLT_BENCH_MULTIPLIER"),_xlfn.SINGLE(_xll.BDP(B20,"FLT_SPREAD"))/100),"")</f>
        <v>1.1499999999999999</v>
      </c>
      <c r="K20" s="150" t="str" cm="1">
        <f t="array" ref="K20">IF(B20="","",IF(LEFT(_xlfn.SINGLE(_xll.BDP($B20,K$9,"fill=b")),1)="#","-",_xll.BDP($B20,K$9,"fill=b")))</f>
        <v>-</v>
      </c>
      <c r="L20" s="233"/>
      <c r="M20" s="234" t="e">
        <f t="shared" si="3"/>
        <v>#VALUE!</v>
      </c>
      <c r="N20" s="252" t="e">
        <f>IF(B20="","",IF(R20="",IF(OR(AD20="SINKABLE",AD20="CALL/SINK"),_xll.BDP(B20,$N$9,$M$9,M20,"PRICING SOURCE",$C$6,"FILL=B"),_xll.BDP(B20,$N$9,$M$9,M20,"PRICING SOURCE",$C$6,"FILL=B")),IF(OR(AD20="SINKABLE",AD20="CALL/SINK"),_xll.BDP(B20,$N$9,$Q$10,S20,$M$9,M20,"PRICING SOURCE",$C$6,"FILL=B"),_xll.BDP(B20,$N$9,$Q$9,S20,$M$9,M20,"PRICING SOURCE",$C$6,"FILL=B"))))</f>
        <v>#VALUE!</v>
      </c>
      <c r="O20" s="235"/>
      <c r="P20" s="236" t="e">
        <f t="shared" si="4"/>
        <v>#VALUE!</v>
      </c>
      <c r="Q20" s="166" t="str">
        <f>IF(ISERROR((IF(OR(AD20="SINKABLE",AD20="CALL/SINK"),_xll.BDP($B20,$Q$10,"fill=b","PRICING_SOURCE",$C$6,$AC20,$N$9,$P20,$M$9,$M20),_xll.BDP($B20,Q$9,"fill=b","PRICING_SOURCE",$C$6,$AC20,$N$9,$P20,$M$9,$M20)))*1),"",IF(OR(AD20="SINKABLE",AD20="CALL/SINK"),_xll.BDP($B20,$Q$10,"fill=b","PRICING_SOURCE",$C$6,$AC20,$N$9,$P20,$M$9,$M20),_xll.BDP($B20,Q$9,"fill=b","PRICING_SOURCE",$C$6,$AC20,$N$9,$P20,$M$9,$M20)))</f>
        <v/>
      </c>
      <c r="R20" s="237"/>
      <c r="S20" s="238" t="str">
        <f t="shared" si="5"/>
        <v/>
      </c>
      <c r="T20" s="239" cm="1">
        <f t="array" ref="T20">IF(ISERROR((_xlfn.SINGLE(IF(OR(AD20="SINKABLE",AD20="CALL/SINK"),_xll.BDP($B20,$Q$10,"fill=b","PRICING_SOURCE",$C$6,$AC20,$M$9,$U20,"px ask",$AE20),_xll.BDP($B20,Q$9,"fill=b","PRICING_SOURCE",$C$6,$AC20,$M$9,$U20,"px ask",$AE20))))*1),"",IF(OR(AD20="SINKABLE",AD20="CALL/SINK"),_xll.BDP($B20,$Q$10,"fill=b","PRICING_SOURCE",$C$6,$AC20,$M$9,$U20,"px ask",$AE20),_xll.BDP($B20,Q$9,"fill=b","PRICING_SOURCE",$C$6,$AC20,$M$9,$U20,"px ask",$AE20)))</f>
        <v>34.791866630669354</v>
      </c>
      <c r="U20" s="240" t="str">
        <f t="shared" si="0"/>
        <v>20111228</v>
      </c>
      <c r="V20" s="254" t="e" cm="1">
        <f t="array" ref="V20">IF(B20="","",IF(I20="BZDIOVRA Index",IF(OR(AD20="SINKABLE",AD20="CALL/SINK"),_xll.BDP($B20,"PX_ASK",$Q$10,J20,$M$9,M20),_xll.BDP($B20,"PX_"&amp;$H$7,$Q$9,J20,$M$9,M20)),_xll.BDP($B20,"PX_"&amp;$H$7,$Q$9,_xll.BDP(B20,"CPN"),$M$9,M20)))</f>
        <v>#VALUE!</v>
      </c>
      <c r="W20" s="254" t="str">
        <f t="shared" si="1"/>
        <v/>
      </c>
      <c r="X20" s="166" t="e">
        <f>IF(B20="","",IF(OR(AD20="SINKABLE",AD20="CALL/SINK"),_xll.BDP($B20,X$9,"fill=b","PRICING_SOURCE",$C$6,$AC20,$M$9,$M20,$N$9,$P20,$Q$10,$S20),_xll.BDP($B20,X$9,"fill=b","PRICING_SOURCE",$C$6,$AC20,$M$9,$M20,$N$9,$P20,$Q$9,$S20)))</f>
        <v>#VALUE!</v>
      </c>
      <c r="Y20" s="166" t="e">
        <f>IF(B20="","",IF(OR(AD20="SINKABLE",AD20="CALL/SINK"),_xll.BDP($B20,Y$9,"fill=b","PRICING_SOURCE",$C$6,$AC20,$M$9,$M20,$N$9,$P20,$Q$10,$S20),_xll.BDP($B20,Y$9,"fill=b","PRICING_SOURCE",$C$6,$AC20,$M$9,$M20,$N$9,$P20,$Q$9,$S20)))</f>
        <v>#VALUE!</v>
      </c>
      <c r="Z20" s="255" t="e">
        <f>IF(B20="","",IF(OR(AD20="SINKABLE",AD20="CALL/SINK"),_xll.BDP($B20,Z$9,"fill=b","PRICING_SOURCE",$C$6,$AC20,$M$9,$M20,$N$9,$P20,$Q$10,$S20),_xll.BDP($B20,Z$9,"fill=b","PRICING_SOURCE",$C$6,$AC20,$M$9,$M20,$N$9,$P20,$Q$9,$S20)))</f>
        <v>#VALUE!</v>
      </c>
      <c r="AA20" s="166" t="e">
        <f>IF(B20="","",IF(OR(AD20="SINKABLE",AD20="CALL/SINK"),_xll.BDP($B20,AA$9,"fill=b","PRICING_SOURCE",$C$6,$AC20,$M$9,$M20,$N$9,$P20,$Q$10,$S20),_xll.BDP($B20,AA$9,"fill=b","PRICING_SOURCE",$C$6,$AC20,$M$9,$M20,$N$9,$P20,$Q$9,$S20)))</f>
        <v>#VALUE!</v>
      </c>
      <c r="AB20" s="150" t="str" cm="1">
        <f t="array" ref="AB20">IF(B20="","",IF(LEFT(_xlfn.SINGLE(_xll.BDP($B20,AB$9,"fill=b")),1)="#","-",_xll.BDP($B20,AB$9,"fill=b")))</f>
        <v>12/28/2018</v>
      </c>
      <c r="AC20" s="150" t="str">
        <f t="shared" si="6"/>
        <v>YLD FLAG=28</v>
      </c>
      <c r="AD20" s="150" t="str" cm="1">
        <f t="array" ref="AD20">IF(B20="","",_xll.BDP($B20,AD$9,"fill=b"))</f>
        <v>SINKABLE</v>
      </c>
      <c r="AE20" s="256" cm="1">
        <f t="array" ref="AE20">IF(B20="","",IF(ISERROR(_xlfn.SINGLE(_xll.BDH(B20,"PX LAST",AN20,AN20,"DAYS=ALL","PRICING SOURCE",$C$6))*1),_xll.BDP(B20,"PAR AMT"),_xll.BDH(B20,"PX LAST",AN20,AN20,"DAYS=ALL","PRICING SOURCE",$C$6)))</f>
        <v>333334</v>
      </c>
      <c r="AF20" s="150" cm="1">
        <f t="array" ref="AF20">IF(B20="","",_xll.BDP($B20,AF$9,"fill=b"))</f>
        <v>0</v>
      </c>
      <c r="AG20" s="150"/>
      <c r="AH20" s="190">
        <f>IF(B20="","",IF($AD20="AT MATURITY",$AB20*1,_xll.BADDPERIODS(_xll.BDP($B20,"issue dt"),"numberofperiods",TRUNC(_xll.BDP($B20,"YRS_TO_LONGEST_AVG_LIFE","YLD_YTM_BID",AF20,"SETTLE_DT",U20,AC20),0),"per=y")+(ROUND(MOD(_xll.BDP(B20,"YRS_TO_LONGEST_AVG_LIFE","YLD_YTM_BID",AF20,"SETTLE_DT",U20,AC20),1)*360,0))))</f>
        <v>43099</v>
      </c>
      <c r="AI20" s="150" t="e" cm="1">
        <f t="array" ref="AI20">IF(B20="","",AF20-_xll.BInterpol(_xll.BDP(_xll.BDS("YCGT0372 Index","curve members","CURVE_DATE", $U20,"endcol=1","array=true"),"maturity")*1,_xll.BDH(_xll.BDS("YCGT0372 Index","curve members","CURVE_DATE", $U20,"endcol=1","array=true"),"yld cnv mid",$U20,$U20,"days=all"),AH20,"CUBIC","Extrapolate=LINEAR","SKIP=TRUE","SORT=TRUE","MultiX=Average"))</f>
        <v>#VALUE!</v>
      </c>
      <c r="AJ20" s="189">
        <f t="shared" si="2"/>
        <v>1.1499999999999999</v>
      </c>
      <c r="AK20" s="257" t="str" cm="1">
        <f t="array" ref="AK20">IF(B20="","",_xll.BDP($B20,AK$9,"fill=b"))</f>
        <v>2.35MMM</v>
      </c>
      <c r="AL20" s="257" t="str" cm="1">
        <f t="array" ref="AL20">IF(B20="","",_xll.BDP($B20,AL$9,"fill=b"))</f>
        <v>0</v>
      </c>
      <c r="AM20" s="256" cm="1">
        <f t="array" ref="AM20">IF(B20="","",_xll.BDP($B20,AM$9,"fill=b"))</f>
        <v>333334</v>
      </c>
      <c r="AN20" s="150" t="str" cm="1">
        <f t="array" ref="AN20">IF(B20="","",_xll.BDP($B20,AN$9,"fill=b"))</f>
        <v>12/28/2011</v>
      </c>
      <c r="AO20" s="150" t="str" cm="1">
        <f t="array" ref="AO20">IF(B20="","",IF(LEFT(_xlfn.SINGLE(_xll.BDP($B20,AO$9,"fill=b")),1)="#","-",_xll.BDP($B20,AO$9,"fill=b")))</f>
        <v>CXECON</v>
      </c>
      <c r="AP20" s="150" t="str" cm="1">
        <f t="array" ref="AP20">IF(B20="","",_xll.BDP($B20,AP$9,"fill=b"))</f>
        <v>Communications</v>
      </c>
      <c r="AQ20" s="150" t="str" cm="1">
        <f t="array" ref="AQ20">IF(B20="","",_xll.BDP($B20,AQ$9,"fill=b"))</f>
        <v>Telecommunications</v>
      </c>
      <c r="AR20" s="150" t="str" cm="1">
        <f t="array" ref="AR20">IF(B20="","",_xll.BDP($B20,AR$9,"fill=b"))</f>
        <v/>
      </c>
      <c r="AS20" s="150" t="str" cm="1">
        <f t="array" ref="AS20">IF(B20="","",_xll.BDP($B20,AS$9,"fill=b"))</f>
        <v>WR</v>
      </c>
      <c r="AT20" s="150" t="str" cm="1">
        <f t="array" ref="AT20">IF(B20="","",_xll.BDP($B20,AT$9,"fill=b"))</f>
        <v/>
      </c>
      <c r="AU20" s="258" t="str" cm="1">
        <f t="array" ref="AU20">IF(B20="","",_xll.BDP($B20,AU$9,"fill=b"))</f>
        <v>CPN = BZDIOVRA INDEX + 115BPS / ISSUED UNDER 476</v>
      </c>
    </row>
    <row r="21" spans="2:47" ht="15" x14ac:dyDescent="0.25">
      <c r="B21" s="232" t="s">
        <v>332</v>
      </c>
      <c r="C21" s="150" t="str" cm="1">
        <f t="array" ref="C21">IF(B21="","",_xll.BDP($B21,C$9,"fill=b"))</f>
        <v>GEPA13</v>
      </c>
      <c r="D21" s="150" t="str" cm="1">
        <f t="array" ref="D21">IF(B21="","",_xll.BDP($B21,D$9,"fill=b"))</f>
        <v>GEPABZ Float 01/10/17</v>
      </c>
      <c r="E21" s="150" t="str" cm="1">
        <f t="array" ref="E21">IF(B21="","",_xll.BDP($B21,E$9,"fill=b"))</f>
        <v>RIO PARANAPANEMA ENERGIA</v>
      </c>
      <c r="F21" s="150" t="str" cm="1">
        <f t="array" ref="F21">IF(B21="","",IF(LEFT(_xlfn.SINGLE(_xll.BDP($B21,F$9,"fill=b")),1)="#","-",_xll.BDP($B21,F$9,"fill=b")))</f>
        <v>PRCH CH</v>
      </c>
      <c r="G21" s="150" t="str" cm="1">
        <f t="array" ref="G21">IF(B21="","",_xll.BDP($B21,G$9,"fill=b"))</f>
        <v>BRAZIL DI+SPREAD</v>
      </c>
      <c r="H21" s="150" t="str" cm="1">
        <f t="array" ref="H21">IF(B21="","",_xll.BDP($B21,H$9,"fill=b"))</f>
        <v>OVRA BZDI +115.000</v>
      </c>
      <c r="I21" s="150" t="str" cm="1">
        <f t="array" ref="I21">IF(LEFT(_xlfn.SINGLE(_xll.BDP(B21,"REFERENCE_INDEX")),1)="#",IF(LEFT(_xlfn.SINGLE(_xll.BDP(B21, "RESET_IDX"))&amp;" Index",1)="#","",_xlfn.SINGLE(_xll.BDP(B21, "RESET_IDX"))&amp;" Index"),_xll.BDP(B21,"REFERENCE_INDEX"))</f>
        <v>BZDIOVRA Index</v>
      </c>
      <c r="J21" s="150" cm="1">
        <f t="array" ref="J21">IF(I21="BZDIOVRA Index",IF(_xlfn.SINGLE(_xll.BDP(B21,"FLT_SPREAD"))/100=0,_xll.BDP(B21,"FLT_BENCH_MULTIPLIER"),_xlfn.SINGLE(_xll.BDP(B21,"FLT_SPREAD"))/100),"")</f>
        <v>1.1499999999999999</v>
      </c>
      <c r="K21" s="150" t="str" cm="1">
        <f t="array" ref="K21">IF(B21="","",IF(LEFT(_xlfn.SINGLE(_xll.BDP($B21,K$9,"fill=b")),1)="#","-",_xll.BDP($B21,K$9,"fill=b")))</f>
        <v>-</v>
      </c>
      <c r="L21" s="233"/>
      <c r="M21" s="234" t="e">
        <f t="shared" si="3"/>
        <v>#VALUE!</v>
      </c>
      <c r="N21" s="252" t="e">
        <f>IF(B21="","",IF(R21="",IF(OR(AD21="SINKABLE",AD21="CALL/SINK"),_xll.BDP(B21,$N$9,$M$9,M21,"PRICING SOURCE",$C$6,"FILL=B"),_xll.BDP(B21,$N$9,$M$9,M21,"PRICING SOURCE",$C$6,"FILL=B")),IF(OR(AD21="SINKABLE",AD21="CALL/SINK"),_xll.BDP(B21,$N$9,$Q$10,S21,$M$9,M21,"PRICING SOURCE",$C$6,"FILL=B"),_xll.BDP(B21,$N$9,$Q$9,S21,$M$9,M21,"PRICING SOURCE",$C$6,"FILL=B"))))</f>
        <v>#VALUE!</v>
      </c>
      <c r="O21" s="235"/>
      <c r="P21" s="236" t="e">
        <f t="shared" si="4"/>
        <v>#VALUE!</v>
      </c>
      <c r="Q21" s="166" t="str">
        <f>IF(ISERROR((IF(OR(AD21="SINKABLE",AD21="CALL/SINK"),_xll.BDP($B21,$Q$10,"fill=b","PRICING_SOURCE",$C$6,$AC21,$N$9,$P21,$M$9,$M21),_xll.BDP($B21,Q$9,"fill=b","PRICING_SOURCE",$C$6,$AC21,$N$9,$P21,$M$9,$M21)))*1),"",IF(OR(AD21="SINKABLE",AD21="CALL/SINK"),_xll.BDP($B21,$Q$10,"fill=b","PRICING_SOURCE",$C$6,$AC21,$N$9,$P21,$M$9,$M21),_xll.BDP($B21,Q$9,"fill=b","PRICING_SOURCE",$C$6,$AC21,$N$9,$P21,$M$9,$M21)))</f>
        <v/>
      </c>
      <c r="R21" s="237"/>
      <c r="S21" s="238" t="str">
        <f t="shared" si="5"/>
        <v/>
      </c>
      <c r="T21" s="239" cm="1">
        <f t="array" ref="T21">IF(ISERROR((_xlfn.SINGLE(IF(OR(AD21="SINKABLE",AD21="CALL/SINK"),_xll.BDP($B21,$Q$10,"fill=b","PRICING_SOURCE",$C$6,$AC21,$M$9,$U21,"px ask",$AE21),_xll.BDP($B21,Q$9,"fill=b","PRICING_SOURCE",$C$6,$AC21,$M$9,$U21,"px ask",$AE21))))*1),"",IF(OR(AD21="SINKABLE",AD21="CALL/SINK"),_xll.BDP($B21,$Q$10,"fill=b","PRICING_SOURCE",$C$6,$AC21,$M$9,$U21,"px ask",$AE21),_xll.BDP($B21,Q$9,"fill=b","PRICING_SOURCE",$C$6,$AC21,$M$9,$U21,"px ask",$AE21)))</f>
        <v>24.040770887827168</v>
      </c>
      <c r="U21" s="240" t="str">
        <f t="shared" si="0"/>
        <v>20120110</v>
      </c>
      <c r="V21" s="254" t="e" cm="1">
        <f t="array" ref="V21">IF(B21="","",IF(I21="BZDIOVRA Index",IF(OR(AD21="SINKABLE",AD21="CALL/SINK"),_xll.BDP($B21,"PX_ASK",$Q$10,J21,$M$9,M21),_xll.BDP($B21,"PX_"&amp;$H$7,$Q$9,J21,$M$9,M21)),_xll.BDP($B21,"PX_"&amp;$H$7,$Q$9,_xll.BDP(B21,"CPN"),$M$9,M21)))</f>
        <v>#VALUE!</v>
      </c>
      <c r="W21" s="254" t="str">
        <f t="shared" si="1"/>
        <v/>
      </c>
      <c r="X21" s="166" t="e">
        <f>IF(B21="","",IF(OR(AD21="SINKABLE",AD21="CALL/SINK"),_xll.BDP($B21,X$9,"fill=b","PRICING_SOURCE",$C$6,$AC21,$M$9,$M21,$N$9,$P21,$Q$10,$S21),_xll.BDP($B21,X$9,"fill=b","PRICING_SOURCE",$C$6,$AC21,$M$9,$M21,$N$9,$P21,$Q$9,$S21)))</f>
        <v>#VALUE!</v>
      </c>
      <c r="Y21" s="166" t="e">
        <f>IF(B21="","",IF(OR(AD21="SINKABLE",AD21="CALL/SINK"),_xll.BDP($B21,Y$9,"fill=b","PRICING_SOURCE",$C$6,$AC21,$M$9,$M21,$N$9,$P21,$Q$10,$S21),_xll.BDP($B21,Y$9,"fill=b","PRICING_SOURCE",$C$6,$AC21,$M$9,$M21,$N$9,$P21,$Q$9,$S21)))</f>
        <v>#VALUE!</v>
      </c>
      <c r="Z21" s="255" t="e">
        <f>IF(B21="","",IF(OR(AD21="SINKABLE",AD21="CALL/SINK"),_xll.BDP($B21,Z$9,"fill=b","PRICING_SOURCE",$C$6,$AC21,$M$9,$M21,$N$9,$P21,$Q$10,$S21),_xll.BDP($B21,Z$9,"fill=b","PRICING_SOURCE",$C$6,$AC21,$M$9,$M21,$N$9,$P21,$Q$9,$S21)))</f>
        <v>#VALUE!</v>
      </c>
      <c r="AA21" s="166" t="e">
        <f>IF(B21="","",IF(OR(AD21="SINKABLE",AD21="CALL/SINK"),_xll.BDP($B21,AA$9,"fill=b","PRICING_SOURCE",$C$6,$AC21,$M$9,$M21,$N$9,$P21,$Q$10,$S21),_xll.BDP($B21,AA$9,"fill=b","PRICING_SOURCE",$C$6,$AC21,$M$9,$M21,$N$9,$P21,$Q$9,$S21)))</f>
        <v>#VALUE!</v>
      </c>
      <c r="AB21" s="150" t="str" cm="1">
        <f t="array" ref="AB21">IF(B21="","",IF(LEFT(_xlfn.SINGLE(_xll.BDP($B21,AB$9,"fill=b")),1)="#","-",_xll.BDP($B21,AB$9,"fill=b")))</f>
        <v>1/10/2017</v>
      </c>
      <c r="AC21" s="150" t="str">
        <f t="shared" si="6"/>
        <v>YLD FLAG=28</v>
      </c>
      <c r="AD21" s="150" t="str" cm="1">
        <f t="array" ref="AD21">IF(B21="","",_xll.BDP($B21,AD$9,"fill=b"))</f>
        <v>SINKABLE</v>
      </c>
      <c r="AE21" s="256" cm="1">
        <f t="array" ref="AE21">IF(B21="","",IF(ISERROR(_xlfn.SINGLE(_xll.BDH(B21,"PX LAST",AN21,AN21,"DAYS=ALL","PRICING SOURCE",$C$6))*1),_xll.BDP(B21,"PAR AMT"),_xll.BDH(B21,"PX LAST",AN21,AN21,"DAYS=ALL","PRICING SOURCE",$C$6)))</f>
        <v>5000</v>
      </c>
      <c r="AF21" s="150" cm="1">
        <f t="array" ref="AF21">IF(B21="","",_xll.BDP($B21,AF$9,"fill=b"))</f>
        <v>7.42677838</v>
      </c>
      <c r="AG21" s="150"/>
      <c r="AH21" s="190">
        <f>IF(B21="","",IF($AD21="AT MATURITY",$AB21*1,_xll.BADDPERIODS(_xll.BDP($B21,"issue dt"),"numberofperiods",TRUNC(_xll.BDP($B21,"YRS_TO_LONGEST_AVG_LIFE","YLD_YTM_BID",AF21,"SETTLE_DT",U21,AC21),0),"per=y")+(ROUND(MOD(_xll.BDP(B21,"YRS_TO_LONGEST_AVG_LIFE","YLD_YTM_BID",AF21,"SETTLE_DT",U21,AC21),1)*360,0))))</f>
        <v>42561</v>
      </c>
      <c r="AI21" s="150" t="e" cm="1">
        <f t="array" ref="AI21">IF(B21="","",AF21-_xll.BInterpol(_xll.BDP(_xll.BDS("YCGT0372 Index","curve members","CURVE_DATE", $U21,"endcol=1","array=true"),"maturity")*1,_xll.BDH(_xll.BDS("YCGT0372 Index","curve members","CURVE_DATE", $U21,"endcol=1","array=true"),"yld cnv mid",$U21,$U21,"days=all"),AH21,"CUBIC","Extrapolate=LINEAR","SKIP=TRUE","SORT=TRUE","MultiX=Average"))</f>
        <v>#VALUE!</v>
      </c>
      <c r="AJ21" s="189">
        <f t="shared" si="2"/>
        <v>1.1499999999999999</v>
      </c>
      <c r="AK21" s="257" t="str" cm="1">
        <f t="array" ref="AK21">IF(B21="","",_xll.BDP($B21,AK$9,"fill=b"))</f>
        <v>150MM</v>
      </c>
      <c r="AL21" s="257" t="str" cm="1">
        <f t="array" ref="AL21">IF(B21="","",_xll.BDP($B21,AL$9,"fill=b"))</f>
        <v>0</v>
      </c>
      <c r="AM21" s="256" cm="1">
        <f t="array" ref="AM21">IF(B21="","",_xll.BDP($B21,AM$9,"fill=b"))</f>
        <v>5000</v>
      </c>
      <c r="AN21" s="150" t="str" cm="1">
        <f t="array" ref="AN21">IF(B21="","",_xll.BDP($B21,AN$9,"fill=b"))</f>
        <v>1/10/2012</v>
      </c>
      <c r="AO21" s="150" t="str" cm="1">
        <f t="array" ref="AO21">IF(B21="","",IF(LEFT(_xlfn.SINGLE(_xll.BDP($B21,AO$9,"fill=b")),1)="#","-",_xll.BDP($B21,AO$9,"fill=b")))</f>
        <v>BTG</v>
      </c>
      <c r="AP21" s="150" t="str" cm="1">
        <f t="array" ref="AP21">IF(B21="","",_xll.BDP($B21,AP$9,"fill=b"))</f>
        <v>Utilities</v>
      </c>
      <c r="AQ21" s="150" t="str" cm="1">
        <f t="array" ref="AQ21">IF(B21="","",_xll.BDP($B21,AQ$9,"fill=b"))</f>
        <v>Electric</v>
      </c>
      <c r="AR21" s="150" t="str" cm="1">
        <f t="array" ref="AR21">IF(B21="","",_xll.BDP($B21,AR$9,"fill=b"))</f>
        <v/>
      </c>
      <c r="AS21" s="150" t="str" cm="1">
        <f t="array" ref="AS21">IF(B21="","",_xll.BDP($B21,AS$9,"fill=b"))</f>
        <v>WR</v>
      </c>
      <c r="AT21" s="150" t="str" cm="1">
        <f t="array" ref="AT21">IF(B21="","",_xll.BDP($B21,AT$9,"fill=b"))</f>
        <v/>
      </c>
      <c r="AU21" s="258" t="str" cm="1">
        <f t="array" ref="AU21">IF(B21="","",_xll.BDP($B21,AU$9,"fill=b"))</f>
        <v>CPN = BZDIOVRA INDEX + 115 BPS / ISSUED UNDER 476</v>
      </c>
    </row>
    <row r="22" spans="2:47" ht="15" x14ac:dyDescent="0.25">
      <c r="B22" s="232" t="s">
        <v>331</v>
      </c>
      <c r="C22" s="150" t="str" cm="1">
        <f t="array" ref="C22">IF(B22="","",_xll.BDP($B22,C$9,"fill=b"))</f>
        <v>IGTA13</v>
      </c>
      <c r="D22" s="150" t="str" cm="1">
        <f t="array" ref="D22">IF(B22="","",_xll.BDP($B22,D$9,"fill=b"))</f>
        <v>IGTABZ Float 02/01/18</v>
      </c>
      <c r="E22" s="150" t="str" cm="1">
        <f t="array" ref="E22">IF(B22="","",_xll.BDP($B22,E$9,"fill=b"))</f>
        <v>IGUATEMI EMPRESA DE SHOP</v>
      </c>
      <c r="F22" s="150" t="str" cm="1">
        <f t="array" ref="F22">IF(B22="","",IF(LEFT(_xlfn.SINGLE(_xll.BDP($B22,F$9,"fill=b")),1)="#","-",_xll.BDP($B22,F$9,"fill=b")))</f>
        <v>IGTI3 BZ</v>
      </c>
      <c r="G22" s="150" t="str" cm="1">
        <f t="array" ref="G22">IF(B22="","",_xll.BDP($B22,G$9,"fill=b"))</f>
        <v>BRAZIL DI+SPREAD</v>
      </c>
      <c r="H22" s="150" t="str" cm="1">
        <f t="array" ref="H22">IF(B22="","",_xll.BDP($B22,H$9,"fill=b"))</f>
        <v>OVRA BZDI +100.000</v>
      </c>
      <c r="I22" s="150" t="str" cm="1">
        <f t="array" ref="I22">IF(LEFT(_xlfn.SINGLE(_xll.BDP(B22,"REFERENCE_INDEX")),1)="#",IF(LEFT(_xlfn.SINGLE(_xll.BDP(B22, "RESET_IDX"))&amp;" Index",1)="#","",_xlfn.SINGLE(_xll.BDP(B22, "RESET_IDX"))&amp;" Index"),_xll.BDP(B22,"REFERENCE_INDEX"))</f>
        <v>BZDIOVRA Index</v>
      </c>
      <c r="J22" s="150" cm="1">
        <f t="array" ref="J22">IF(I22="BZDIOVRA Index",IF(_xlfn.SINGLE(_xll.BDP(B22,"FLT_SPREAD"))/100=0,_xll.BDP(B22,"FLT_BENCH_MULTIPLIER"),_xlfn.SINGLE(_xll.BDP(B22,"FLT_SPREAD"))/100),"")</f>
        <v>1</v>
      </c>
      <c r="K22" s="150" t="str" cm="1">
        <f t="array" ref="K22">IF(B22="","",IF(LEFT(_xlfn.SINGLE(_xll.BDP($B22,K$9,"fill=b")),1)="#","-",_xll.BDP($B22,K$9,"fill=b")))</f>
        <v>-</v>
      </c>
      <c r="L22" s="233"/>
      <c r="M22" s="234" t="e">
        <f t="shared" si="3"/>
        <v>#VALUE!</v>
      </c>
      <c r="N22" s="252" t="e">
        <f>IF(B22="","",IF(R22="",IF(OR(AD22="SINKABLE",AD22="CALL/SINK"),_xll.BDP(B22,$N$9,$M$9,M22,"PRICING SOURCE",$C$6,"FILL=B"),_xll.BDP(B22,$N$9,$M$9,M22,"PRICING SOURCE",$C$6,"FILL=B")),IF(OR(AD22="SINKABLE",AD22="CALL/SINK"),_xll.BDP(B22,$N$9,$Q$10,S22,$M$9,M22,"PRICING SOURCE",$C$6,"FILL=B"),_xll.BDP(B22,$N$9,$Q$9,S22,$M$9,M22,"PRICING SOURCE",$C$6,"FILL=B"))))</f>
        <v>#VALUE!</v>
      </c>
      <c r="O22" s="235"/>
      <c r="P22" s="236" t="e">
        <f t="shared" si="4"/>
        <v>#VALUE!</v>
      </c>
      <c r="Q22" s="166" t="str">
        <f>IF(ISERROR((IF(OR(AD22="SINKABLE",AD22="CALL/SINK"),_xll.BDP($B22,$Q$10,"fill=b","PRICING_SOURCE",$C$6,$AC22,$N$9,$P22,$M$9,$M22),_xll.BDP($B22,Q$9,"fill=b","PRICING_SOURCE",$C$6,$AC22,$N$9,$P22,$M$9,$M22)))*1),"",IF(OR(AD22="SINKABLE",AD22="CALL/SINK"),_xll.BDP($B22,$Q$10,"fill=b","PRICING_SOURCE",$C$6,$AC22,$N$9,$P22,$M$9,$M22),_xll.BDP($B22,Q$9,"fill=b","PRICING_SOURCE",$C$6,$AC22,$N$9,$P22,$M$9,$M22)))</f>
        <v/>
      </c>
      <c r="R22" s="237"/>
      <c r="S22" s="238" t="str">
        <f t="shared" si="5"/>
        <v/>
      </c>
      <c r="T22" s="239" cm="1">
        <f t="array" ref="T22">IF(ISERROR((_xlfn.SINGLE(IF(OR(AD22="SINKABLE",AD22="CALL/SINK"),_xll.BDP($B22,$Q$10,"fill=b","PRICING_SOURCE",$C$6,$AC22,$M$9,$U22,"px ask",$AE22),_xll.BDP($B22,Q$9,"fill=b","PRICING_SOURCE",$C$6,$AC22,$M$9,$U22,"px ask",$AE22))))*1),"",IF(OR(AD22="SINKABLE",AD22="CALL/SINK"),_xll.BDP($B22,$Q$10,"fill=b","PRICING_SOURCE",$C$6,$AC22,$M$9,$U22,"px ask",$AE22),_xll.BDP($B22,Q$9,"fill=b","PRICING_SOURCE",$C$6,$AC22,$M$9,$U22,"px ask",$AE22)))</f>
        <v>20.439630929405283</v>
      </c>
      <c r="U22" s="240" t="str">
        <f t="shared" si="0"/>
        <v>20120201</v>
      </c>
      <c r="V22" s="254" t="e" cm="1">
        <f t="array" ref="V22">IF(B22="","",IF(I22="BZDIOVRA Index",IF(OR(AD22="SINKABLE",AD22="CALL/SINK"),_xll.BDP($B22,"PX_ASK",$Q$10,J22,$M$9,M22),_xll.BDP($B22,"PX_"&amp;$H$7,$Q$9,J22,$M$9,M22)),_xll.BDP($B22,"PX_"&amp;$H$7,$Q$9,_xll.BDP(B22,"CPN"),$M$9,M22)))</f>
        <v>#VALUE!</v>
      </c>
      <c r="W22" s="254" t="str">
        <f t="shared" si="1"/>
        <v/>
      </c>
      <c r="X22" s="166" t="e">
        <f>IF(B22="","",IF(OR(AD22="SINKABLE",AD22="CALL/SINK"),_xll.BDP($B22,X$9,"fill=b","PRICING_SOURCE",$C$6,$AC22,$M$9,$M22,$N$9,$P22,$Q$10,$S22),_xll.BDP($B22,X$9,"fill=b","PRICING_SOURCE",$C$6,$AC22,$M$9,$M22,$N$9,$P22,$Q$9,$S22)))</f>
        <v>#VALUE!</v>
      </c>
      <c r="Y22" s="166" t="e">
        <f>IF(B22="","",IF(OR(AD22="SINKABLE",AD22="CALL/SINK"),_xll.BDP($B22,Y$9,"fill=b","PRICING_SOURCE",$C$6,$AC22,$M$9,$M22,$N$9,$P22,$Q$10,$S22),_xll.BDP($B22,Y$9,"fill=b","PRICING_SOURCE",$C$6,$AC22,$M$9,$M22,$N$9,$P22,$Q$9,$S22)))</f>
        <v>#VALUE!</v>
      </c>
      <c r="Z22" s="255" t="e">
        <f>IF(B22="","",IF(OR(AD22="SINKABLE",AD22="CALL/SINK"),_xll.BDP($B22,Z$9,"fill=b","PRICING_SOURCE",$C$6,$AC22,$M$9,$M22,$N$9,$P22,$Q$10,$S22),_xll.BDP($B22,Z$9,"fill=b","PRICING_SOURCE",$C$6,$AC22,$M$9,$M22,$N$9,$P22,$Q$9,$S22)))</f>
        <v>#VALUE!</v>
      </c>
      <c r="AA22" s="166" t="e">
        <f>IF(B22="","",IF(OR(AD22="SINKABLE",AD22="CALL/SINK"),_xll.BDP($B22,AA$9,"fill=b","PRICING_SOURCE",$C$6,$AC22,$M$9,$M22,$N$9,$P22,$Q$10,$S22),_xll.BDP($B22,AA$9,"fill=b","PRICING_SOURCE",$C$6,$AC22,$M$9,$M22,$N$9,$P22,$Q$9,$S22)))</f>
        <v>#VALUE!</v>
      </c>
      <c r="AB22" s="150" t="str" cm="1">
        <f t="array" ref="AB22">IF(B22="","",IF(LEFT(_xlfn.SINGLE(_xll.BDP($B22,AB$9,"fill=b")),1)="#","-",_xll.BDP($B22,AB$9,"fill=b")))</f>
        <v>2/1/2018</v>
      </c>
      <c r="AC22" s="150" t="str">
        <f t="shared" si="6"/>
        <v>YLD FLAG=28</v>
      </c>
      <c r="AD22" s="150" t="str" cm="1">
        <f t="array" ref="AD22">IF(B22="","",_xll.BDP($B22,AD$9,"fill=b"))</f>
        <v>SINKABLE</v>
      </c>
      <c r="AE22" s="256" cm="1">
        <f t="array" ref="AE22">IF(B22="","",IF(ISERROR(_xlfn.SINGLE(_xll.BDH(B22,"PX LAST",AN22,AN22,"DAYS=ALL","PRICING SOURCE",$C$6))*1),_xll.BDP(B22,"PAR AMT"),_xll.BDH(B22,"PX LAST",AN22,AN22,"DAYS=ALL","PRICING SOURCE",$C$6)))</f>
        <v>5000</v>
      </c>
      <c r="AF22" s="150" cm="1">
        <f t="array" ref="AF22">IF(B22="","",_xll.BDP($B22,AF$9,"fill=b"))</f>
        <v>4.3481873200000001</v>
      </c>
      <c r="AG22" s="150"/>
      <c r="AH22" s="190">
        <f>IF(B22="","",IF($AD22="AT MATURITY",$AB22*1,_xll.BADDPERIODS(_xll.BDP($B22,"issue dt"),"numberofperiods",TRUNC(_xll.BDP($B22,"YRS_TO_LONGEST_AVG_LIFE","YLD_YTM_BID",AF22,"SETTLE_DT",U22,AC22),0),"per=y")+(ROUND(MOD(_xll.BDP(B22,"YRS_TO_LONGEST_AVG_LIFE","YLD_YTM_BID",AF22,"SETTLE_DT",U22,AC22),1)*360,0))))</f>
        <v>42948</v>
      </c>
      <c r="AI22" s="150" t="e" cm="1">
        <f t="array" ref="AI22">IF(B22="","",AF22-_xll.BInterpol(_xll.BDP(_xll.BDS("YCGT0372 Index","curve members","CURVE_DATE", $U22,"endcol=1","array=true"),"maturity")*1,_xll.BDH(_xll.BDS("YCGT0372 Index","curve members","CURVE_DATE", $U22,"endcol=1","array=true"),"yld cnv mid",$U22,$U22,"days=all"),AH22,"CUBIC","Extrapolate=LINEAR","SKIP=TRUE","SORT=TRUE","MultiX=Average"))</f>
        <v>#VALUE!</v>
      </c>
      <c r="AJ22" s="189">
        <f t="shared" si="2"/>
        <v>1</v>
      </c>
      <c r="AK22" s="257" t="str" cm="1">
        <f t="array" ref="AK22">IF(B22="","",_xll.BDP($B22,AK$9,"fill=b"))</f>
        <v>300MM</v>
      </c>
      <c r="AL22" s="257" t="str" cm="1">
        <f t="array" ref="AL22">IF(B22="","",_xll.BDP($B22,AL$9,"fill=b"))</f>
        <v>0</v>
      </c>
      <c r="AM22" s="256" cm="1">
        <f t="array" ref="AM22">IF(B22="","",_xll.BDP($B22,AM$9,"fill=b"))</f>
        <v>5000</v>
      </c>
      <c r="AN22" s="150" t="str" cm="1">
        <f t="array" ref="AN22">IF(B22="","",_xll.BDP($B22,AN$9,"fill=b"))</f>
        <v>2/1/2012</v>
      </c>
      <c r="AO22" s="150" t="str" cm="1">
        <f t="array" ref="AO22">IF(B22="","",IF(LEFT(_xlfn.SINGLE(_xll.BDP($B22,AO$9,"fill=b")),1)="#","-",_xll.BDP($B22,AO$9,"fill=b")))</f>
        <v>JOINT LEADS</v>
      </c>
      <c r="AP22" s="150" t="str" cm="1">
        <f t="array" ref="AP22">IF(B22="","",_xll.BDP($B22,AP$9,"fill=b"))</f>
        <v>Financial</v>
      </c>
      <c r="AQ22" s="150" t="str" cm="1">
        <f t="array" ref="AQ22">IF(B22="","",_xll.BDP($B22,AQ$9,"fill=b"))</f>
        <v>Real Estate</v>
      </c>
      <c r="AR22" s="150" t="str" cm="1">
        <f t="array" ref="AR22">IF(B22="","",_xll.BDP($B22,AR$9,"fill=b"))</f>
        <v>NR</v>
      </c>
      <c r="AS22" s="150" t="str" cm="1">
        <f t="array" ref="AS22">IF(B22="","",_xll.BDP($B22,AS$9,"fill=b"))</f>
        <v/>
      </c>
      <c r="AT22" s="150" t="str" cm="1">
        <f t="array" ref="AT22">IF(B22="","",_xll.BDP($B22,AT$9,"fill=b"))</f>
        <v/>
      </c>
      <c r="AU22" s="258" t="str" cm="1">
        <f t="array" ref="AU22">IF(B22="","",_xll.BDP($B22,AU$9,"fill=b"))</f>
        <v>CPN = BZDIOVRA INDEX + 100 BPS. ISSUED UNDER 476/09.</v>
      </c>
    </row>
    <row r="23" spans="2:47" ht="15" x14ac:dyDescent="0.25">
      <c r="B23" s="232" t="s">
        <v>344</v>
      </c>
      <c r="C23" s="150" t="str" cm="1">
        <f t="array" ref="C23">IF(B23="","",_xll.BDP($B23,C$9,"fill=b"))</f>
        <v>LAME26</v>
      </c>
      <c r="D23" s="150" t="str" cm="1">
        <f t="array" ref="D23">IF(B23="","",_xll.BDP($B23,D$9,"fill=b"))</f>
        <v>LAMEBZ Float 01/26/18</v>
      </c>
      <c r="E23" s="150" t="str" cm="1">
        <f t="array" ref="E23">IF(B23="","",_xll.BDP($B23,E$9,"fill=b"))</f>
        <v>LOJAS AMERICANAS SA</v>
      </c>
      <c r="F23" s="150" t="str" cm="1">
        <f t="array" ref="F23">IF(B23="","",IF(LEFT(_xlfn.SINGLE(_xll.BDP($B23,F$9,"fill=b")),1)="#","-",_xll.BDP($B23,F$9,"fill=b")))</f>
        <v>LAME4 BZ</v>
      </c>
      <c r="G23" s="150" t="str" cm="1">
        <f t="array" ref="G23">IF(B23="","",_xll.BDP($B23,G$9,"fill=b"))</f>
        <v>BRAZIL PERCENT DI</v>
      </c>
      <c r="H23" s="150" t="str" cm="1">
        <f t="array" ref="H23">IF(B23="","",_xll.BDP($B23,H$9,"fill=b"))</f>
        <v>OVRA BZDI *112.00000</v>
      </c>
      <c r="I23" s="150" t="str" cm="1">
        <f t="array" ref="I23">IF(LEFT(_xlfn.SINGLE(_xll.BDP(B23,"REFERENCE_INDEX")),1)="#",IF(LEFT(_xlfn.SINGLE(_xll.BDP(B23, "RESET_IDX"))&amp;" Index",1)="#","",_xlfn.SINGLE(_xll.BDP(B23, "RESET_IDX"))&amp;" Index"),_xll.BDP(B23,"REFERENCE_INDEX"))</f>
        <v>BZDIOVRA Index</v>
      </c>
      <c r="J23" s="150" cm="1">
        <f t="array" ref="J23">IF(I23="BZDIOVRA Index",IF(_xlfn.SINGLE(_xll.BDP(B23,"FLT_SPREAD"))/100=0,_xll.BDP(B23,"FLT_BENCH_MULTIPLIER"),_xlfn.SINGLE(_xll.BDP(B23,"FLT_SPREAD"))/100),"")</f>
        <v>112</v>
      </c>
      <c r="K23" s="150" t="str" cm="1">
        <f t="array" ref="K23">IF(B23="","",IF(LEFT(_xlfn.SINGLE(_xll.BDP($B23,K$9,"fill=b")),1)="#","-",_xll.BDP($B23,K$9,"fill=b")))</f>
        <v>-</v>
      </c>
      <c r="L23" s="233"/>
      <c r="M23" s="234" t="e">
        <f t="shared" si="3"/>
        <v>#VALUE!</v>
      </c>
      <c r="N23" s="252" t="e">
        <f>IF(B23="","",IF(R23="",IF(OR(AD23="SINKABLE",AD23="CALL/SINK"),_xll.BDP(B23,$N$9,$M$9,M23,"PRICING SOURCE",$C$6,"FILL=B"),_xll.BDP(B23,$N$9,$M$9,M23,"PRICING SOURCE",$C$6,"FILL=B")),IF(OR(AD23="SINKABLE",AD23="CALL/SINK"),_xll.BDP(B23,$N$9,$Q$10,S23,$M$9,M23,"PRICING SOURCE",$C$6,"FILL=B"),_xll.BDP(B23,$N$9,$Q$9,S23,$M$9,M23,"PRICING SOURCE",$C$6,"FILL=B"))))</f>
        <v>#VALUE!</v>
      </c>
      <c r="O23" s="235"/>
      <c r="P23" s="236" t="e">
        <f t="shared" ref="P23:P31" si="7">IF(O23="",N23,O23)</f>
        <v>#VALUE!</v>
      </c>
      <c r="Q23" s="166" t="str">
        <f>IF(ISERROR((IF(OR(AD23="SINKABLE",AD23="CALL/SINK"),_xll.BDP($B23,$Q$10,"fill=b","PRICING_SOURCE",$C$6,$AC23,$N$9,$P23,$M$9,$M23),_xll.BDP($B23,Q$9,"fill=b","PRICING_SOURCE",$C$6,$AC23,$N$9,$P23,$M$9,$M23)))*1),"",IF(OR(AD23="SINKABLE",AD23="CALL/SINK"),_xll.BDP($B23,$Q$10,"fill=b","PRICING_SOURCE",$C$6,$AC23,$N$9,$P23,$M$9,$M23),_xll.BDP($B23,Q$9,"fill=b","PRICING_SOURCE",$C$6,$AC23,$N$9,$P23,$M$9,$M23)))</f>
        <v/>
      </c>
      <c r="R23" s="237"/>
      <c r="S23" s="238" t="str">
        <f t="shared" ref="S23:S31" si="8">IF(R23="",Q23,R23)</f>
        <v/>
      </c>
      <c r="T23" s="239" cm="1">
        <f t="array" ref="T23">IF(ISERROR((_xlfn.SINGLE(IF(OR(AD23="SINKABLE",AD23="CALL/SINK"),_xll.BDP($B23,$Q$10,"fill=b","PRICING_SOURCE",$C$6,$AC23,$M$9,$U23,"px ask",$AE23),_xll.BDP($B23,Q$9,"fill=b","PRICING_SOURCE",$C$6,$AC23,$M$9,$U23,"px ask",$AE23))))*1),"",IF(OR(AD23="SINKABLE",AD23="CALL/SINK"),_xll.BDP($B23,$Q$10,"fill=b","PRICING_SOURCE",$C$6,$AC23,$M$9,$U23,"px ask",$AE23),_xll.BDP($B23,Q$9,"fill=b","PRICING_SOURCE",$C$6,$AC23,$M$9,$U23,"px ask",$AE23)))</f>
        <v>112.04143498563731</v>
      </c>
      <c r="U23" s="240" t="str">
        <f t="shared" si="0"/>
        <v>20120126</v>
      </c>
      <c r="V23" s="254" t="e" cm="1">
        <f t="array" ref="V23">IF(B23="","",IF(I23="BZDIOVRA Index",IF(OR(AD23="SINKABLE",AD23="CALL/SINK"),_xll.BDP($B23,"PX_ASK",$Q$10,J23,$M$9,M23),_xll.BDP($B23,"PX_"&amp;$H$7,$Q$9,J23,$M$9,M23)),_xll.BDP($B23,"PX_"&amp;$H$7,$Q$9,_xll.BDP(B23,"CPN"),$M$9,M23)))</f>
        <v>#VALUE!</v>
      </c>
      <c r="W23" s="254" t="str">
        <f t="shared" si="1"/>
        <v/>
      </c>
      <c r="X23" s="166" t="e">
        <f>IF(B23="","",IF(OR(AD23="SINKABLE",AD23="CALL/SINK"),_xll.BDP($B23,X$9,"fill=b","PRICING_SOURCE",$C$6,$AC23,$M$9,$M23,$N$9,$P23,$Q$10,$S23),_xll.BDP($B23,X$9,"fill=b","PRICING_SOURCE",$C$6,$AC23,$M$9,$M23,$N$9,$P23,$Q$9,$S23)))</f>
        <v>#VALUE!</v>
      </c>
      <c r="Y23" s="166" t="e">
        <f>IF(B23="","",IF(OR(AD23="SINKABLE",AD23="CALL/SINK"),_xll.BDP($B23,Y$9,"fill=b","PRICING_SOURCE",$C$6,$AC23,$M$9,$M23,$N$9,$P23,$Q$10,$S23),_xll.BDP($B23,Y$9,"fill=b","PRICING_SOURCE",$C$6,$AC23,$M$9,$M23,$N$9,$P23,$Q$9,$S23)))</f>
        <v>#VALUE!</v>
      </c>
      <c r="Z23" s="255" t="e">
        <f>IF(B23="","",IF(OR(AD23="SINKABLE",AD23="CALL/SINK"),_xll.BDP($B23,Z$9,"fill=b","PRICING_SOURCE",$C$6,$AC23,$M$9,$M23,$N$9,$P23,$Q$10,$S23),_xll.BDP($B23,Z$9,"fill=b","PRICING_SOURCE",$C$6,$AC23,$M$9,$M23,$N$9,$P23,$Q$9,$S23)))</f>
        <v>#VALUE!</v>
      </c>
      <c r="AA23" s="166" t="e">
        <f>IF(B23="","",IF(OR(AD23="SINKABLE",AD23="CALL/SINK"),_xll.BDP($B23,AA$9,"fill=b","PRICING_SOURCE",$C$6,$AC23,$M$9,$M23,$N$9,$P23,$Q$10,$S23),_xll.BDP($B23,AA$9,"fill=b","PRICING_SOURCE",$C$6,$AC23,$M$9,$M23,$N$9,$P23,$Q$9,$S23)))</f>
        <v>#VALUE!</v>
      </c>
      <c r="AB23" s="150" t="str" cm="1">
        <f t="array" ref="AB23">IF(B23="","",IF(LEFT(_xlfn.SINGLE(_xll.BDP($B23,AB$9,"fill=b")),1)="#","-",_xll.BDP($B23,AB$9,"fill=b")))</f>
        <v>1/26/2018</v>
      </c>
      <c r="AC23" s="150" t="str">
        <f t="shared" ref="AC23:AC31" si="9">IF(OR(AD23="SINKABLE",AD23="CALL/SINK"),"YLD FLAG=28",IF(OR(AD23="AT MATURITY",AD23="CALLABLE"),"YLD FLAG=1","YLD FLAG=2"))</f>
        <v>YLD FLAG=1</v>
      </c>
      <c r="AD23" s="150" t="str" cm="1">
        <f t="array" ref="AD23">IF(B23="","",_xll.BDP($B23,AD$9,"fill=b"))</f>
        <v>AT MATURITY</v>
      </c>
      <c r="AE23" s="256" cm="1">
        <f t="array" ref="AE23">IF(B23="","",IF(ISERROR(_xlfn.SINGLE(_xll.BDH(B23,"PX LAST",AN23,AN23,"DAYS=ALL","PRICING SOURCE",$C$6))*1),_xll.BDP(B23,"PAR AMT"),_xll.BDH(B23,"PX LAST",AN23,AN23,"DAYS=ALL","PRICING SOURCE",$C$6)))</f>
        <v>10000</v>
      </c>
      <c r="AF23" s="150" cm="1">
        <f t="array" ref="AF23">IF(B23="","",_xll.BDP($B23,AF$9,"fill=b"))</f>
        <v>4.3424990000000001</v>
      </c>
      <c r="AG23" s="150"/>
      <c r="AH23" s="190">
        <f>IF(B23="","",IF($AD23="AT MATURITY",$AB23*1,_xll.BADDPERIODS(_xll.BDP($B23,"issue dt"),"numberofperiods",TRUNC(_xll.BDP($B23,"YRS_TO_LONGEST_AVG_LIFE","YLD_YTM_BID",AF23,"SETTLE_DT",U23,AC23),0),"per=y")+(ROUND(MOD(_xll.BDP(B23,"YRS_TO_LONGEST_AVG_LIFE","YLD_YTM_BID",AF23,"SETTLE_DT",U23,AC23),1)*360,0))))</f>
        <v>43126</v>
      </c>
      <c r="AI23" s="150" t="e" cm="1">
        <f t="array" ref="AI23">IF(B23="","",AF23-_xll.BInterpol(_xll.BDP(_xll.BDS("YCGT0372 Index","curve members","CURVE_DATE", $U23,"endcol=1","array=true"),"maturity")*1,_xll.BDH(_xll.BDS("YCGT0372 Index","curve members","CURVE_DATE", $U23,"endcol=1","array=true"),"yld cnv mid",$U23,$U23,"days=all"),AH23,"CUBIC","Extrapolate=LINEAR","SKIP=TRUE","SORT=TRUE","MultiX=Average"))</f>
        <v>#VALUE!</v>
      </c>
      <c r="AJ23" s="189">
        <f t="shared" si="2"/>
        <v>112</v>
      </c>
      <c r="AK23" s="257" t="str" cm="1">
        <f t="array" ref="AK23">IF(B23="","",_xll.BDP($B23,AK$9,"fill=b"))</f>
        <v>200MM</v>
      </c>
      <c r="AL23" s="257" t="str" cm="1">
        <f t="array" ref="AL23">IF(B23="","",_xll.BDP($B23,AL$9,"fill=b"))</f>
        <v>0</v>
      </c>
      <c r="AM23" s="256" cm="1">
        <f t="array" ref="AM23">IF(B23="","",_xll.BDP($B23,AM$9,"fill=b"))</f>
        <v>10000</v>
      </c>
      <c r="AN23" s="150" t="str" cm="1">
        <f t="array" ref="AN23">IF(B23="","",_xll.BDP($B23,AN$9,"fill=b"))</f>
        <v>1/26/2012</v>
      </c>
      <c r="AO23" s="150" t="str" cm="1">
        <f t="array" ref="AO23">IF(B23="","",IF(LEFT(_xlfn.SINGLE(_xll.BDP($B23,AO$9,"fill=b")),1)="#","-",_xll.BDP($B23,AO$9,"fill=b")))</f>
        <v>JOINT LEADS</v>
      </c>
      <c r="AP23" s="150" t="str" cm="1">
        <f t="array" ref="AP23">IF(B23="","",_xll.BDP($B23,AP$9,"fill=b"))</f>
        <v>Consumer, Cyclical</v>
      </c>
      <c r="AQ23" s="150" t="str" cm="1">
        <f t="array" ref="AQ23">IF(B23="","",_xll.BDP($B23,AQ$9,"fill=b"))</f>
        <v>Retail</v>
      </c>
      <c r="AR23" s="150" t="str" cm="1">
        <f t="array" ref="AR23">IF(B23="","",_xll.BDP($B23,AR$9,"fill=b"))</f>
        <v/>
      </c>
      <c r="AS23" s="150" t="str" cm="1">
        <f t="array" ref="AS23">IF(B23="","",_xll.BDP($B23,AS$9,"fill=b"))</f>
        <v/>
      </c>
      <c r="AT23" s="150" t="str" cm="1">
        <f t="array" ref="AT23">IF(B23="","",_xll.BDP($B23,AT$9,"fill=b"))</f>
        <v>NR</v>
      </c>
      <c r="AU23" s="258" t="str" cm="1">
        <f t="array" ref="AU23">IF(B23="","",_xll.BDP($B23,AU$9,"fill=b"))</f>
        <v>CPN = BZDIOVRA INDEX * 112% / ISSUED UNDER 476</v>
      </c>
    </row>
    <row r="24" spans="2:47" ht="15" x14ac:dyDescent="0.25">
      <c r="B24" s="232" t="s">
        <v>316</v>
      </c>
      <c r="C24" s="150" t="str" cm="1">
        <f t="array" ref="C24">IF(B24="","",_xll.BDP($B24,C$9,"fill=b"))</f>
        <v>BRML12</v>
      </c>
      <c r="D24" s="150" t="str" cm="1">
        <f t="array" ref="D24">IF(B24="","",_xll.BDP($B24,D$9,"fill=b"))</f>
        <v>BRMLBZ Float 02/15/17</v>
      </c>
      <c r="E24" s="150" t="str" cm="1">
        <f t="array" ref="E24">IF(B24="","",_xll.BDP($B24,E$9,"fill=b"))</f>
        <v>BR MALLS PARTICIPACOES S</v>
      </c>
      <c r="F24" s="150" t="str" cm="1">
        <f t="array" ref="F24">IF(B24="","",IF(LEFT(_xlfn.SINGLE(_xll.BDP($B24,F$9,"fill=b")),1)="#","-",_xll.BDP($B24,F$9,"fill=b")))</f>
        <v>0310746D PL</v>
      </c>
      <c r="G24" s="150" t="str" cm="1">
        <f t="array" ref="G24">IF(B24="","",_xll.BDP($B24,G$9,"fill=b"))</f>
        <v>BRAZIL DI+SPREAD</v>
      </c>
      <c r="H24" s="150" t="str" cm="1">
        <f t="array" ref="H24">IF(B24="","",_xll.BDP($B24,H$9,"fill=b"))</f>
        <v>OVRA BZDI +94.000</v>
      </c>
      <c r="I24" s="150" t="str" cm="1">
        <f t="array" ref="I24">IF(LEFT(_xlfn.SINGLE(_xll.BDP(B24,"REFERENCE_INDEX")),1)="#",IF(LEFT(_xlfn.SINGLE(_xll.BDP(B24, "RESET_IDX"))&amp;" Index",1)="#","",_xlfn.SINGLE(_xll.BDP(B24, "RESET_IDX"))&amp;" Index"),_xll.BDP(B24,"REFERENCE_INDEX"))</f>
        <v>BZDIOVRA Index</v>
      </c>
      <c r="J24" s="150" cm="1">
        <f t="array" ref="J24">IF(I24="BZDIOVRA Index",IF(_xlfn.SINGLE(_xll.BDP(B24,"FLT_SPREAD"))/100=0,_xll.BDP(B24,"FLT_BENCH_MULTIPLIER"),_xlfn.SINGLE(_xll.BDP(B24,"FLT_SPREAD"))/100),"")</f>
        <v>0.94</v>
      </c>
      <c r="K24" s="150" t="str" cm="1">
        <f t="array" ref="K24">IF(B24="","",IF(LEFT(_xlfn.SINGLE(_xll.BDP($B24,K$9,"fill=b")),1)="#","-",_xll.BDP($B24,K$9,"fill=b")))</f>
        <v>-</v>
      </c>
      <c r="L24" s="233"/>
      <c r="M24" s="234" t="e">
        <f t="shared" si="3"/>
        <v>#VALUE!</v>
      </c>
      <c r="N24" s="252" t="e">
        <f>IF(B24="","",IF(R24="",IF(OR(AD24="SINKABLE",AD24="CALL/SINK"),_xll.BDP(B24,$N$9,$M$9,M24,"PRICING SOURCE",$C$6,"FILL=B"),_xll.BDP(B24,$N$9,$M$9,M24,"PRICING SOURCE",$C$6,"FILL=B")),IF(OR(AD24="SINKABLE",AD24="CALL/SINK"),_xll.BDP(B24,$N$9,$Q$10,S24,$M$9,M24,"PRICING SOURCE",$C$6,"FILL=B"),_xll.BDP(B24,$N$9,$Q$9,S24,$M$9,M24,"PRICING SOURCE",$C$6,"FILL=B"))))</f>
        <v>#VALUE!</v>
      </c>
      <c r="O24" s="235"/>
      <c r="P24" s="236" t="e">
        <f t="shared" si="7"/>
        <v>#VALUE!</v>
      </c>
      <c r="Q24" s="166" t="str">
        <f>IF(ISERROR((IF(OR(AD24="SINKABLE",AD24="CALL/SINK"),_xll.BDP($B24,$Q$10,"fill=b","PRICING_SOURCE",$C$6,$AC24,$N$9,$P24,$M$9,$M24),_xll.BDP($B24,Q$9,"fill=b","PRICING_SOURCE",$C$6,$AC24,$N$9,$P24,$M$9,$M24)))*1),"",IF(OR(AD24="SINKABLE",AD24="CALL/SINK"),_xll.BDP($B24,$Q$10,"fill=b","PRICING_SOURCE",$C$6,$AC24,$N$9,$P24,$M$9,$M24),_xll.BDP($B24,Q$9,"fill=b","PRICING_SOURCE",$C$6,$AC24,$N$9,$P24,$M$9,$M24)))</f>
        <v/>
      </c>
      <c r="R24" s="237"/>
      <c r="S24" s="238" t="str">
        <f t="shared" si="8"/>
        <v/>
      </c>
      <c r="T24" s="239" cm="1">
        <f t="array" ref="T24">IF(ISERROR((_xlfn.SINGLE(IF(OR(AD24="SINKABLE",AD24="CALL/SINK"),_xll.BDP($B24,$Q$10,"fill=b","PRICING_SOURCE",$C$6,$AC24,$M$9,$U24,"px ask",$AE24),_xll.BDP($B24,Q$9,"fill=b","PRICING_SOURCE",$C$6,$AC24,$M$9,$U24,"px ask",$AE24))))*1),"",IF(OR(AD24="SINKABLE",AD24="CALL/SINK"),_xll.BDP($B24,$Q$10,"fill=b","PRICING_SOURCE",$C$6,$AC24,$M$9,$U24,"px ask",$AE24),_xll.BDP($B24,Q$9,"fill=b","PRICING_SOURCE",$C$6,$AC24,$M$9,$U24,"px ask",$AE24)))</f>
        <v>23.317688269964965</v>
      </c>
      <c r="U24" s="240" t="str">
        <f t="shared" si="0"/>
        <v>20120215</v>
      </c>
      <c r="V24" s="254" t="e" cm="1">
        <f t="array" ref="V24">IF(B24="","",IF(I24="BZDIOVRA Index",IF(OR(AD24="SINKABLE",AD24="CALL/SINK"),_xll.BDP($B24,"PX_ASK",$Q$10,J24,$M$9,M24),_xll.BDP($B24,"PX_"&amp;$H$7,$Q$9,J24,$M$9,M24)),_xll.BDP($B24,"PX_"&amp;$H$7,$Q$9,_xll.BDP(B24,"CPN"),$M$9,M24)))</f>
        <v>#VALUE!</v>
      </c>
      <c r="W24" s="254" t="str">
        <f t="shared" si="1"/>
        <v/>
      </c>
      <c r="X24" s="166" t="e">
        <f>IF(B24="","",IF(OR(AD24="SINKABLE",AD24="CALL/SINK"),_xll.BDP($B24,X$9,"fill=b","PRICING_SOURCE",$C$6,$AC24,$M$9,$M24,$N$9,$P24,$Q$10,$S24),_xll.BDP($B24,X$9,"fill=b","PRICING_SOURCE",$C$6,$AC24,$M$9,$M24,$N$9,$P24,$Q$9,$S24)))</f>
        <v>#VALUE!</v>
      </c>
      <c r="Y24" s="166" t="e">
        <f>IF(B24="","",IF(OR(AD24="SINKABLE",AD24="CALL/SINK"),_xll.BDP($B24,Y$9,"fill=b","PRICING_SOURCE",$C$6,$AC24,$M$9,$M24,$N$9,$P24,$Q$10,$S24),_xll.BDP($B24,Y$9,"fill=b","PRICING_SOURCE",$C$6,$AC24,$M$9,$M24,$N$9,$P24,$Q$9,$S24)))</f>
        <v>#VALUE!</v>
      </c>
      <c r="Z24" s="255" t="e">
        <f>IF(B24="","",IF(OR(AD24="SINKABLE",AD24="CALL/SINK"),_xll.BDP($B24,Z$9,"fill=b","PRICING_SOURCE",$C$6,$AC24,$M$9,$M24,$N$9,$P24,$Q$10,$S24),_xll.BDP($B24,Z$9,"fill=b","PRICING_SOURCE",$C$6,$AC24,$M$9,$M24,$N$9,$P24,$Q$9,$S24)))</f>
        <v>#VALUE!</v>
      </c>
      <c r="AA24" s="166" t="e">
        <f>IF(B24="","",IF(OR(AD24="SINKABLE",AD24="CALL/SINK"),_xll.BDP($B24,AA$9,"fill=b","PRICING_SOURCE",$C$6,$AC24,$M$9,$M24,$N$9,$P24,$Q$10,$S24),_xll.BDP($B24,AA$9,"fill=b","PRICING_SOURCE",$C$6,$AC24,$M$9,$M24,$N$9,$P24,$Q$9,$S24)))</f>
        <v>#VALUE!</v>
      </c>
      <c r="AB24" s="150" t="str" cm="1">
        <f t="array" ref="AB24">IF(B24="","",IF(LEFT(_xlfn.SINGLE(_xll.BDP($B24,AB$9,"fill=b")),1)="#","-",_xll.BDP($B24,AB$9,"fill=b")))</f>
        <v>2/15/2017</v>
      </c>
      <c r="AC24" s="150" t="str">
        <f t="shared" si="9"/>
        <v>YLD FLAG=28</v>
      </c>
      <c r="AD24" s="150" t="str" cm="1">
        <f t="array" ref="AD24">IF(B24="","",_xll.BDP($B24,AD$9,"fill=b"))</f>
        <v>SINKABLE</v>
      </c>
      <c r="AE24" s="256" cm="1">
        <f t="array" ref="AE24">IF(B24="","",IF(ISERROR(_xlfn.SINGLE(_xll.BDH(B24,"PX LAST",AN24,AN24,"DAYS=ALL","PRICING SOURCE",$C$6))*1),_xll.BDP(B24,"PAR AMT"),_xll.BDH(B24,"PX LAST",AN24,AN24,"DAYS=ALL","PRICING SOURCE",$C$6)))</f>
        <v>5000</v>
      </c>
      <c r="AF24" s="150" cm="1">
        <f t="array" ref="AF24">IF(B24="","",_xll.BDP($B24,AF$9,"fill=b"))</f>
        <v>7.2583165999999997</v>
      </c>
      <c r="AG24" s="150"/>
      <c r="AH24" s="190">
        <f>IF(B24="","",IF($AD24="AT MATURITY",$AB24*1,_xll.BADDPERIODS(_xll.BDP($B24,"issue dt"),"numberofperiods",TRUNC(_xll.BDP($B24,"YRS_TO_LONGEST_AVG_LIFE","YLD_YTM_BID",AF24,"SETTLE_DT",U24,AC24),0),"per=y")+(ROUND(MOD(_xll.BDP(B24,"YRS_TO_LONGEST_AVG_LIFE","YLD_YTM_BID",AF24,"SETTLE_DT",U24,AC24),1)*360,0))))</f>
        <v>42596</v>
      </c>
      <c r="AI24" s="150" t="e">
        <f t="array" ref="AI24">IF(B24="","",AF24-_xll.BInterpol(_xll.BDP(_xll.BDS("YCGT0372 Index","curve members","CURVE_DATE", $U24,"endcol=1","array=true"),"maturity")*1,_xll.BDH(_xll.BDS("YCGT0372 Index","curve members","CURVE_DATE", $U24,"endcol=1","array=true"),"yld cnv mid",$U24,$U24,"days=all"),AH24,"CUBIC","Extrapolate=LINEAR","SKIP=TRUE","SORT=TRUE","MultiX=Average"))</f>
        <v>#VALUE!</v>
      </c>
      <c r="AJ24" s="189">
        <f t="shared" si="2"/>
        <v>0.94</v>
      </c>
      <c r="AK24" s="257" t="str" cm="1">
        <f t="array" ref="AK24">IF(B24="","",_xll.BDP($B24,AK$9,"fill=b"))</f>
        <v>165.75MM</v>
      </c>
      <c r="AL24" s="257" t="str" cm="1">
        <f t="array" ref="AL24">IF(B24="","",_xll.BDP($B24,AL$9,"fill=b"))</f>
        <v>0</v>
      </c>
      <c r="AM24" s="256" cm="1">
        <f t="array" ref="AM24">IF(B24="","",_xll.BDP($B24,AM$9,"fill=b"))</f>
        <v>5000</v>
      </c>
      <c r="AN24" s="150" t="str" cm="1">
        <f t="array" ref="AN24">IF(B24="","",_xll.BDP($B24,AN$9,"fill=b"))</f>
        <v>2/15/2012</v>
      </c>
      <c r="AO24" s="150" t="str" cm="1">
        <f t="array" ref="AO24">IF(B24="","",IF(LEFT(_xlfn.SINGLE(_xll.BDP($B24,AO$9,"fill=b")),1)="#","-",_xll.BDP($B24,AO$9,"fill=b")))</f>
        <v>BTG</v>
      </c>
      <c r="AP24" s="150" t="str" cm="1">
        <f t="array" ref="AP24">IF(B24="","",_xll.BDP($B24,AP$9,"fill=b"))</f>
        <v>Financial</v>
      </c>
      <c r="AQ24" s="150" t="str" cm="1">
        <f t="array" ref="AQ24">IF(B24="","",_xll.BDP($B24,AQ$9,"fill=b"))</f>
        <v>Real Estate</v>
      </c>
      <c r="AR24" s="150" t="str" cm="1">
        <f t="array" ref="AR24">IF(B24="","",_xll.BDP($B24,AR$9,"fill=b"))</f>
        <v/>
      </c>
      <c r="AS24" s="150" t="str" cm="1">
        <f t="array" ref="AS24">IF(B24="","",_xll.BDP($B24,AS$9,"fill=b"))</f>
        <v/>
      </c>
      <c r="AT24" s="150" t="str" cm="1">
        <f t="array" ref="AT24">IF(B24="","",_xll.BDP($B24,AT$9,"fill=b"))</f>
        <v>NR</v>
      </c>
      <c r="AU24" s="258" t="str" cm="1">
        <f t="array" ref="AU24">IF(B24="","",_xll.BDP($B24,AU$9,"fill=b"))</f>
        <v>CPN = BZDIOVRA INDEX + 94 BPS.</v>
      </c>
    </row>
    <row r="25" spans="2:47" ht="15" x14ac:dyDescent="0.25">
      <c r="B25" s="232" t="s">
        <v>267</v>
      </c>
      <c r="C25" s="150" t="str" cm="1">
        <f t="array" ref="C25">IF(B25="","",_xll.BDP($B25,C$9,"fill=b"))</f>
        <v>BRML22</v>
      </c>
      <c r="D25" s="150" t="str" cm="1">
        <f t="array" ref="D25">IF(B25="","",_xll.BDP($B25,D$9,"fill=b"))</f>
        <v>BRMLBZ 6.4 02/15/19</v>
      </c>
      <c r="E25" s="150" t="str" cm="1">
        <f t="array" ref="E25">IF(B25="","",_xll.BDP($B25,E$9,"fill=b"))</f>
        <v>BR MALLS PARTICIPACOES S</v>
      </c>
      <c r="F25" s="150" t="str" cm="1">
        <f t="array" ref="F25">IF(B25="","",IF(LEFT(_xlfn.SINGLE(_xll.BDP($B25,F$9,"fill=b")),1)="#","-",_xll.BDP($B25,F$9,"fill=b")))</f>
        <v>0310746D PL</v>
      </c>
      <c r="G25" s="150" t="str" cm="1">
        <f t="array" ref="G25">IF(B25="","",_xll.BDP($B25,G$9,"fill=b"))</f>
        <v>BRAZIL IPCA+SPREAD</v>
      </c>
      <c r="H25" s="150" t="str" cm="1">
        <f t="array" ref="H25">IF(B25="","",_xll.BDP($B25,H$9,"fill=b"))</f>
        <v/>
      </c>
      <c r="I25" s="150" t="str" cm="1">
        <f t="array" ref="I25">IF(LEFT(_xlfn.SINGLE(_xll.BDP(B25,"REFERENCE_INDEX")),1)="#",IF(LEFT(_xlfn.SINGLE(_xll.BDP(B25, "RESET_IDX"))&amp;" Index",1)="#","",_xlfn.SINGLE(_xll.BDP(B25, "RESET_IDX"))&amp;" Index"),_xll.BDP(B25,"REFERENCE_INDEX"))</f>
        <v>BZCLVLUE Index</v>
      </c>
      <c r="J25" s="150" t="str">
        <f>IF(I25="BZDIOVRA Index",IF(_xll.BDP(B25,"FLT_SPREAD")/100=0,_xll.BDP(B25,"FLT_BENCH_MULTIPLIER"),_xll.BDP(B25,"FLT_SPREAD")/100),"")</f>
        <v/>
      </c>
      <c r="K25" s="150" t="str" cm="1">
        <f t="array" ref="K25">IF(B25="","",IF(LEFT(_xlfn.SINGLE(_xll.BDP($B25,K$9,"fill=b")),1)="#","-",_xll.BDP($B25,K$9,"fill=b")))</f>
        <v>-</v>
      </c>
      <c r="L25" s="233"/>
      <c r="M25" s="234" t="e">
        <f t="shared" si="3"/>
        <v>#VALUE!</v>
      </c>
      <c r="N25" s="252" t="e">
        <f>IF(B25="","",IF(R25="",IF(OR(AD25="SINKABLE",AD25="CALL/SINK"),_xll.BDP(B25,$N$9,$M$9,M25,"PRICING SOURCE",$C$6,"FILL=B"),_xll.BDP(B25,$N$9,$M$9,M25,"PRICING SOURCE",$C$6,"FILL=B")),IF(OR(AD25="SINKABLE",AD25="CALL/SINK"),_xll.BDP(B25,$N$9,$Q$10,S25,$M$9,M25,"PRICING SOURCE",$C$6,"FILL=B"),_xll.BDP(B25,$N$9,$Q$9,S25,$M$9,M25,"PRICING SOURCE",$C$6,"FILL=B"))))</f>
        <v>#VALUE!</v>
      </c>
      <c r="O25" s="235"/>
      <c r="P25" s="236" t="e">
        <f t="shared" si="7"/>
        <v>#VALUE!</v>
      </c>
      <c r="Q25" s="166" t="str">
        <f>IF(ISERROR((IF(OR(AD25="SINKABLE",AD25="CALL/SINK"),_xll.BDP($B25,$Q$10,"fill=b","PRICING_SOURCE",$C$6,$AC25,$N$9,$P25,$M$9,$M25),_xll.BDP($B25,Q$9,"fill=b","PRICING_SOURCE",$C$6,$AC25,$N$9,$P25,$M$9,$M25)))*1),"",IF(OR(AD25="SINKABLE",AD25="CALL/SINK"),_xll.BDP($B25,$Q$10,"fill=b","PRICING_SOURCE",$C$6,$AC25,$N$9,$P25,$M$9,$M25),_xll.BDP($B25,Q$9,"fill=b","PRICING_SOURCE",$C$6,$AC25,$N$9,$P25,$M$9,$M25)))</f>
        <v/>
      </c>
      <c r="R25" s="237"/>
      <c r="S25" s="238" t="str">
        <f t="shared" si="8"/>
        <v/>
      </c>
      <c r="T25" s="239" cm="1">
        <f t="array" ref="T25">IF(ISERROR((_xlfn.SINGLE(IF(OR(AD25="SINKABLE",AD25="CALL/SINK"),_xll.BDP($B25,$Q$10,"fill=b","PRICING_SOURCE",$C$6,$AC25,$M$9,$U25,"px ask",$AE25),_xll.BDP($B25,Q$9,"fill=b","PRICING_SOURCE",$C$6,$AC25,$M$9,$U25,"px ask",$AE25))))*1),"",IF(OR(AD25="SINKABLE",AD25="CALL/SINK"),_xll.BDP($B25,$Q$10,"fill=b","PRICING_SOURCE",$C$6,$AC25,$M$9,$U25,"px ask",$AE25),_xll.BDP($B25,Q$9,"fill=b","PRICING_SOURCE",$C$6,$AC25,$M$9,$U25,"px ask",$AE25)))</f>
        <v>80.981465467431562</v>
      </c>
      <c r="U25" s="240" t="str">
        <f t="shared" si="0"/>
        <v>20120215</v>
      </c>
      <c r="V25" s="254" t="e" cm="1">
        <f t="array" ref="V25">IF(B25="","",IF(I25="BZDIOVRA Index",IF(OR(AD25="SINKABLE",AD25="CALL/SINK"),_xll.BDP($B25,"PX_ASK",$Q$10,J25,$M$9,M25),_xll.BDP($B25,"PX_"&amp;$H$7,$Q$9,J25,$M$9,M25)),_xll.BDP($B25,"PX_"&amp;$H$7,$Q$9,_xll.BDP(B25,"CPN"),$M$9,M25)))</f>
        <v>#VALUE!</v>
      </c>
      <c r="W25" s="254" t="str">
        <f t="shared" si="1"/>
        <v/>
      </c>
      <c r="X25" s="166" t="e">
        <f>IF(B25="","",IF(OR(AD25="SINKABLE",AD25="CALL/SINK"),_xll.BDP($B25,X$9,"fill=b","PRICING_SOURCE",$C$6,$AC25,$M$9,$M25,$N$9,$P25,$Q$10,$S25),_xll.BDP($B25,X$9,"fill=b","PRICING_SOURCE",$C$6,$AC25,$M$9,$M25,$N$9,$P25,$Q$9,$S25)))</f>
        <v>#VALUE!</v>
      </c>
      <c r="Y25" s="166" t="e">
        <f>IF(B25="","",IF(OR(AD25="SINKABLE",AD25="CALL/SINK"),_xll.BDP($B25,Y$9,"fill=b","PRICING_SOURCE",$C$6,$AC25,$M$9,$M25,$N$9,$P25,$Q$10,$S25),_xll.BDP($B25,Y$9,"fill=b","PRICING_SOURCE",$C$6,$AC25,$M$9,$M25,$N$9,$P25,$Q$9,$S25)))</f>
        <v>#VALUE!</v>
      </c>
      <c r="Z25" s="255" t="e">
        <f>IF(B25="","",IF(OR(AD25="SINKABLE",AD25="CALL/SINK"),_xll.BDP($B25,Z$9,"fill=b","PRICING_SOURCE",$C$6,$AC25,$M$9,$M25,$N$9,$P25,$Q$10,$S25),_xll.BDP($B25,Z$9,"fill=b","PRICING_SOURCE",$C$6,$AC25,$M$9,$M25,$N$9,$P25,$Q$9,$S25)))</f>
        <v>#VALUE!</v>
      </c>
      <c r="AA25" s="166" t="e">
        <f>IF(B25="","",IF(OR(AD25="SINKABLE",AD25="CALL/SINK"),_xll.BDP($B25,AA$9,"fill=b","PRICING_SOURCE",$C$6,$AC25,$M$9,$M25,$N$9,$P25,$Q$10,$S25),_xll.BDP($B25,AA$9,"fill=b","PRICING_SOURCE",$C$6,$AC25,$M$9,$M25,$N$9,$P25,$Q$9,$S25)))</f>
        <v>#VALUE!</v>
      </c>
      <c r="AB25" s="150" t="str" cm="1">
        <f t="array" ref="AB25">IF(B25="","",IF(LEFT(_xlfn.SINGLE(_xll.BDP($B25,AB$9,"fill=b")),1)="#","-",_xll.BDP($B25,AB$9,"fill=b")))</f>
        <v>2/15/2019</v>
      </c>
      <c r="AC25" s="150" t="str">
        <f t="shared" si="9"/>
        <v>YLD FLAG=28</v>
      </c>
      <c r="AD25" s="150" t="str" cm="1">
        <f t="array" ref="AD25">IF(B25="","",_xll.BDP($B25,AD$9,"fill=b"))</f>
        <v>SINKABLE</v>
      </c>
      <c r="AE25" s="256" cm="1">
        <f t="array" ref="AE25">IF(B25="","",IF(ISERROR(_xlfn.SINGLE(_xll.BDH(B25,"PX LAST",AN25,AN25,"DAYS=ALL","PRICING SOURCE",$C$6))*1),_xll.BDP(B25,"PAR AMT"),_xll.BDH(B25,"PX LAST",AN25,AN25,"DAYS=ALL","PRICING SOURCE",$C$6)))</f>
        <v>5000</v>
      </c>
      <c r="AF25" s="150" cm="1">
        <f t="array" ref="AF25">IF(B25="","",_xll.BDP($B25,AF$9,"fill=b"))</f>
        <v>6.4</v>
      </c>
      <c r="AG25" s="150"/>
      <c r="AH25" s="190" t="e">
        <f>IF(B25="","",IF($AD25="AT MATURITY",$AB25*1,_xll.BADDPERIODS(_xll.BDP($B25,"issue dt"),"numberofperiods",TRUNC(_xll.BDP($B25,"YRS_TO_LONGEST_AVG_LIFE","YLD_YTM_BID",AF25,"SETTLE_DT",U25,AC25),0),"per=y")+(ROUND(MOD(_xll.BDP(B25,"YRS_TO_LONGEST_AVG_LIFE","YLD_YTM_BID",AF25,"SETTLE_DT",U25,AC25),1)*360,0))))</f>
        <v>#VALUE!</v>
      </c>
      <c r="AI25" s="150" t="e">
        <f t="array" ref="AI25">IF(B25="","",AF25-_xll.BInterpol(_xll.BDP(_xll.BDS("YCGT0372 Index","curve members","CURVE_DATE", $U25,"endcol=1","array=true"),"maturity")*1,_xll.BDH(_xll.BDS("YCGT0372 Index","curve members","CURVE_DATE", $U25,"endcol=1","array=true"),"yld cnv mid",$U25,$U25,"days=all"),AH25,"CUBIC","Extrapolate=LINEAR","SKIP=TRUE","SORT=TRUE","MultiX=Average"))</f>
        <v>#VALUE!</v>
      </c>
      <c r="AJ25" s="189" t="str">
        <f t="shared" si="2"/>
        <v/>
      </c>
      <c r="AK25" s="257" t="str" cm="1">
        <f t="array" ref="AK25">IF(B25="","",_xll.BDP($B25,AK$9,"fill=b"))</f>
        <v>239.25MM</v>
      </c>
      <c r="AL25" s="257" t="str" cm="1">
        <f t="array" ref="AL25">IF(B25="","",_xll.BDP($B25,AL$9,"fill=b"))</f>
        <v>0</v>
      </c>
      <c r="AM25" s="256" cm="1">
        <f t="array" ref="AM25">IF(B25="","",_xll.BDP($B25,AM$9,"fill=b"))</f>
        <v>5000</v>
      </c>
      <c r="AN25" s="150" t="str" cm="1">
        <f t="array" ref="AN25">IF(B25="","",_xll.BDP($B25,AN$9,"fill=b"))</f>
        <v>2/15/2012</v>
      </c>
      <c r="AO25" s="150" t="str" cm="1">
        <f t="array" ref="AO25">IF(B25="","",IF(LEFT(_xlfn.SINGLE(_xll.BDP($B25,AO$9,"fill=b")),1)="#","-",_xll.BDP($B25,AO$9,"fill=b")))</f>
        <v>BTG</v>
      </c>
      <c r="AP25" s="150" t="str" cm="1">
        <f t="array" ref="AP25">IF(B25="","",_xll.BDP($B25,AP$9,"fill=b"))</f>
        <v>Financial</v>
      </c>
      <c r="AQ25" s="150" t="str" cm="1">
        <f t="array" ref="AQ25">IF(B25="","",_xll.BDP($B25,AQ$9,"fill=b"))</f>
        <v>Real Estate</v>
      </c>
      <c r="AR25" s="150" t="str" cm="1">
        <f t="array" ref="AR25">IF(B25="","",_xll.BDP($B25,AR$9,"fill=b"))</f>
        <v/>
      </c>
      <c r="AS25" s="150" t="str" cm="1">
        <f t="array" ref="AS25">IF(B25="","",_xll.BDP($B25,AS$9,"fill=b"))</f>
        <v/>
      </c>
      <c r="AT25" s="150" t="str" cm="1">
        <f t="array" ref="AT25">IF(B25="","",_xll.BDP($B25,AT$9,"fill=b"))</f>
        <v>NR</v>
      </c>
      <c r="AU25" s="258" t="str" cm="1">
        <f t="array" ref="AU25">IF(B25="","",_xll.BDP($B25,AU$9,"fill=b"))</f>
        <v>RDMPTN AND CPN  LINKED TO IPCA. BZCLVUE + 640BPS</v>
      </c>
    </row>
    <row r="26" spans="2:47" ht="15" x14ac:dyDescent="0.25">
      <c r="B26" s="232" t="s">
        <v>330</v>
      </c>
      <c r="C26" s="150" t="str" cm="1">
        <f t="array" ref="C26">IF(B26="","",_xll.BDP($B26,C$9,"fill=b"))</f>
        <v>SBSPA5</v>
      </c>
      <c r="D26" s="150" t="str" cm="1">
        <f t="array" ref="D26">IF(B26="","",_xll.BDP($B26,D$9,"fill=b"))</f>
        <v>SBSPBZ Float 02/15/17</v>
      </c>
      <c r="E26" s="150" t="str" cm="1">
        <f t="array" ref="E26">IF(B26="","",_xll.BDP($B26,E$9,"fill=b"))</f>
        <v>CIA SANEAMENTO BASICO</v>
      </c>
      <c r="F26" s="150" t="str" cm="1">
        <f t="array" ref="F26">IF(B26="","",IF(LEFT(_xlfn.SINGLE(_xll.BDP($B26,F$9,"fill=b")),1)="#","-",_xll.BDP($B26,F$9,"fill=b")))</f>
        <v>1169Z BZ</v>
      </c>
      <c r="G26" s="150" t="str" cm="1">
        <f t="array" ref="G26">IF(B26="","",_xll.BDP($B26,G$9,"fill=b"))</f>
        <v>BRAZIL DI+SPREAD</v>
      </c>
      <c r="H26" s="150" t="str" cm="1">
        <f t="array" ref="H26">IF(B26="","",_xll.BDP($B26,H$9,"fill=b"))</f>
        <v>OVRA BZDI +99.000</v>
      </c>
      <c r="I26" s="150" t="str" cm="1">
        <f t="array" ref="I26">IF(LEFT(_xlfn.SINGLE(_xll.BDP(B26,"REFERENCE_INDEX")),1)="#",IF(LEFT(_xlfn.SINGLE(_xll.BDP(B26, "RESET_IDX"))&amp;" Index",1)="#","",_xlfn.SINGLE(_xll.BDP(B26, "RESET_IDX"))&amp;" Index"),_xll.BDP(B26,"REFERENCE_INDEX"))</f>
        <v>BZDIOVRA Index</v>
      </c>
      <c r="J26" s="150" cm="1">
        <f t="array" ref="J26">IF(I26="BZDIOVRA Index",IF(_xlfn.SINGLE(_xll.BDP(B26,"FLT_SPREAD"))/100=0,_xll.BDP(B26,"FLT_BENCH_MULTIPLIER"),_xlfn.SINGLE(_xll.BDP(B26,"FLT_SPREAD"))/100),"")</f>
        <v>0.99</v>
      </c>
      <c r="K26" s="150" t="str" cm="1">
        <f t="array" ref="K26">IF(B26="","",IF(LEFT(_xlfn.SINGLE(_xll.BDP($B26,K$9,"fill=b")),1)="#","-",_xll.BDP($B26,K$9,"fill=b")))</f>
        <v>-</v>
      </c>
      <c r="L26" s="233"/>
      <c r="M26" s="234" t="e">
        <f t="shared" si="3"/>
        <v>#VALUE!</v>
      </c>
      <c r="N26" s="252" t="e">
        <f>IF(B26="","",IF(R26="",IF(OR(AD26="SINKABLE",AD26="CALL/SINK"),_xll.BDP(B26,$N$9,$M$9,M26,"PRICING SOURCE",$C$6,"FILL=B"),_xll.BDP(B26,$N$9,$M$9,M26,"PRICING SOURCE",$C$6,"FILL=B")),IF(OR(AD26="SINKABLE",AD26="CALL/SINK"),_xll.BDP(B26,$N$9,$Q$10,S26,$M$9,M26,"PRICING SOURCE",$C$6,"FILL=B"),_xll.BDP(B26,$N$9,$Q$9,S26,$M$9,M26,"PRICING SOURCE",$C$6,"FILL=B"))))</f>
        <v>#VALUE!</v>
      </c>
      <c r="O26" s="235"/>
      <c r="P26" s="236" t="e">
        <f t="shared" si="7"/>
        <v>#VALUE!</v>
      </c>
      <c r="Q26" s="166" t="str">
        <f>IF(ISERROR((IF(OR(AD26="SINKABLE",AD26="CALL/SINK"),_xll.BDP($B26,$Q$10,"fill=b","PRICING_SOURCE",$C$6,$AC26,$N$9,$P26,$M$9,$M26),_xll.BDP($B26,Q$9,"fill=b","PRICING_SOURCE",$C$6,$AC26,$N$9,$P26,$M$9,$M26)))*1),"",IF(OR(AD26="SINKABLE",AD26="CALL/SINK"),_xll.BDP($B26,$Q$10,"fill=b","PRICING_SOURCE",$C$6,$AC26,$N$9,$P26,$M$9,$M26),_xll.BDP($B26,Q$9,"fill=b","PRICING_SOURCE",$C$6,$AC26,$N$9,$P26,$M$9,$M26)))</f>
        <v/>
      </c>
      <c r="R26" s="237"/>
      <c r="S26" s="238" t="str">
        <f t="shared" si="8"/>
        <v/>
      </c>
      <c r="T26" s="239" cm="1">
        <f t="array" ref="T26">IF(ISERROR((_xlfn.SINGLE(IF(OR(AD26="SINKABLE",AD26="CALL/SINK"),_xll.BDP($B26,$Q$10,"fill=b","PRICING_SOURCE",$C$6,$AC26,$M$9,$U26,"px ask",$AE26),_xll.BDP($B26,Q$9,"fill=b","PRICING_SOURCE",$C$6,$AC26,$M$9,$U26,"px ask",$AE26))))*1),"",IF(OR(AD26="SINKABLE",AD26="CALL/SINK"),_xll.BDP($B26,$Q$10,"fill=b","PRICING_SOURCE",$C$6,$AC26,$M$9,$U26,"px ask",$AE26),_xll.BDP($B26,Q$9,"fill=b","PRICING_SOURCE",$C$6,$AC26,$M$9,$U26,"px ask",$AE26)))</f>
        <v>44.525635547497004</v>
      </c>
      <c r="U26" s="240" t="str">
        <f t="shared" si="0"/>
        <v>20120216</v>
      </c>
      <c r="V26" s="254" t="e" cm="1">
        <f t="array" ref="V26">IF(B26="","",IF(I26="BZDIOVRA Index",IF(OR(AD26="SINKABLE",AD26="CALL/SINK"),_xll.BDP($B26,"PX_ASK",$Q$10,J26,$M$9,M26),_xll.BDP($B26,"PX_"&amp;$H$7,$Q$9,J26,$M$9,M26)),_xll.BDP($B26,"PX_"&amp;$H$7,$Q$9,_xll.BDP(B26,"CPN"),$M$9,M26)))</f>
        <v>#VALUE!</v>
      </c>
      <c r="W26" s="254" t="str">
        <f t="shared" si="1"/>
        <v/>
      </c>
      <c r="X26" s="166" t="e">
        <f>IF(B26="","",IF(OR(AD26="SINKABLE",AD26="CALL/SINK"),_xll.BDP($B26,X$9,"fill=b","PRICING_SOURCE",$C$6,$AC26,$M$9,$M26,$N$9,$P26,$Q$10,$S26),_xll.BDP($B26,X$9,"fill=b","PRICING_SOURCE",$C$6,$AC26,$M$9,$M26,$N$9,$P26,$Q$9,$S26)))</f>
        <v>#VALUE!</v>
      </c>
      <c r="Y26" s="166" t="e">
        <f>IF(B26="","",IF(OR(AD26="SINKABLE",AD26="CALL/SINK"),_xll.BDP($B26,Y$9,"fill=b","PRICING_SOURCE",$C$6,$AC26,$M$9,$M26,$N$9,$P26,$Q$10,$S26),_xll.BDP($B26,Y$9,"fill=b","PRICING_SOURCE",$C$6,$AC26,$M$9,$M26,$N$9,$P26,$Q$9,$S26)))</f>
        <v>#VALUE!</v>
      </c>
      <c r="Z26" s="255" t="e">
        <f>IF(B26="","",IF(OR(AD26="SINKABLE",AD26="CALL/SINK"),_xll.BDP($B26,Z$9,"fill=b","PRICING_SOURCE",$C$6,$AC26,$M$9,$M26,$N$9,$P26,$Q$10,$S26),_xll.BDP($B26,Z$9,"fill=b","PRICING_SOURCE",$C$6,$AC26,$M$9,$M26,$N$9,$P26,$Q$9,$S26)))</f>
        <v>#VALUE!</v>
      </c>
      <c r="AA26" s="166" t="e">
        <f>IF(B26="","",IF(OR(AD26="SINKABLE",AD26="CALL/SINK"),_xll.BDP($B26,AA$9,"fill=b","PRICING_SOURCE",$C$6,$AC26,$M$9,$M26,$N$9,$P26,$Q$10,$S26),_xll.BDP($B26,AA$9,"fill=b","PRICING_SOURCE",$C$6,$AC26,$M$9,$M26,$N$9,$P26,$Q$9,$S26)))</f>
        <v>#VALUE!</v>
      </c>
      <c r="AB26" s="150" t="str" cm="1">
        <f t="array" ref="AB26">IF(B26="","",IF(LEFT(_xlfn.SINGLE(_xll.BDP($B26,AB$9,"fill=b")),1)="#","-",_xll.BDP($B26,AB$9,"fill=b")))</f>
        <v>2/15/2017</v>
      </c>
      <c r="AC26" s="150" t="str">
        <f t="shared" si="9"/>
        <v>YLD FLAG=28</v>
      </c>
      <c r="AD26" s="150" t="str" cm="1">
        <f t="array" ref="AD26">IF(B26="","",_xll.BDP($B26,AD$9,"fill=b"))</f>
        <v>SINKABLE</v>
      </c>
      <c r="AE26" s="256" cm="1">
        <f t="array" ref="AE26">IF(B26="","",IF(ISERROR(_xlfn.SINGLE(_xll.BDH(B26,"PX LAST",AN26,AN26,"DAYS=ALL","PRICING SOURCE",$C$6))*1),_xll.BDP(B26,"PAR AMT"),_xll.BDH(B26,"PX LAST",AN26,AN26,"DAYS=ALL","PRICING SOURCE",$C$6)))</f>
        <v>3400</v>
      </c>
      <c r="AF26" s="150" cm="1">
        <f t="array" ref="AF26">IF(B26="","",_xll.BDP($B26,AF$9,"fill=b"))</f>
        <v>7.2852998819999994</v>
      </c>
      <c r="AG26" s="150"/>
      <c r="AH26" s="190">
        <f>IF(B26="","",IF($AD26="AT MATURITY",$AB26*1,_xll.BADDPERIODS(_xll.BDP($B26,"issue dt"),"numberofperiods",TRUNC(_xll.BDP($B26,"YRS_TO_LONGEST_AVG_LIFE","YLD_YTM_BID",AF26,"SETTLE_DT",U26,AC26),0),"per=y")+(ROUND(MOD(_xll.BDP(B26,"YRS_TO_LONGEST_AVG_LIFE","YLD_YTM_BID",AF26,"SETTLE_DT",U26,AC26),1)*360,0))))</f>
        <v>42420</v>
      </c>
      <c r="AI26" s="150" t="e" cm="1">
        <f t="array" ref="AI26">IF(B26="","",AF26-_xll.BInterpol(_xll.BDP(_xll.BDS("YCGT0372 Index","curve members","CURVE_DATE", $U26,"endcol=1","array=true"),"maturity")*1,_xll.BDH(_xll.BDS("YCGT0372 Index","curve members","CURVE_DATE", $U26,"endcol=1","array=true"),"yld cnv mid",$U26,$U26,"days=all"),AH26,"CUBIC","Extrapolate=LINEAR","SKIP=TRUE","SORT=TRUE","MultiX=Average"))</f>
        <v>#VALUE!</v>
      </c>
      <c r="AJ26" s="189">
        <f t="shared" si="2"/>
        <v>0.99</v>
      </c>
      <c r="AK26" s="257" t="str" cm="1">
        <f t="array" ref="AK26">IF(B26="","",_xll.BDP($B26,AK$9,"fill=b"))</f>
        <v>287.33MM</v>
      </c>
      <c r="AL26" s="257" t="str" cm="1">
        <f t="array" ref="AL26">IF(B26="","",_xll.BDP($B26,AL$9,"fill=b"))</f>
        <v>0</v>
      </c>
      <c r="AM26" s="256" cm="1">
        <f t="array" ref="AM26">IF(B26="","",_xll.BDP($B26,AM$9,"fill=b"))</f>
        <v>3400</v>
      </c>
      <c r="AN26" s="150" t="str" cm="1">
        <f t="array" ref="AN26">IF(B26="","",_xll.BDP($B26,AN$9,"fill=b"))</f>
        <v>2/16/2012</v>
      </c>
      <c r="AO26" s="150" t="str" cm="1">
        <f t="array" ref="AO26">IF(B26="","",IF(LEFT(_xlfn.SINGLE(_xll.BDP($B26,AO$9,"fill=b")),1)="#","-",_xll.BDP($B26,AO$9,"fill=b")))</f>
        <v>BTG</v>
      </c>
      <c r="AP26" s="150" t="str" cm="1">
        <f t="array" ref="AP26">IF(B26="","",_xll.BDP($B26,AP$9,"fill=b"))</f>
        <v>Utilities</v>
      </c>
      <c r="AQ26" s="150" t="str" cm="1">
        <f t="array" ref="AQ26">IF(B26="","",_xll.BDP($B26,AQ$9,"fill=b"))</f>
        <v>Water</v>
      </c>
      <c r="AR26" s="150" t="str" cm="1">
        <f t="array" ref="AR26">IF(B26="","",_xll.BDP($B26,AR$9,"fill=b"))</f>
        <v/>
      </c>
      <c r="AS26" s="150" t="str" cm="1">
        <f t="array" ref="AS26">IF(B26="","",_xll.BDP($B26,AS$9,"fill=b"))</f>
        <v>WR</v>
      </c>
      <c r="AT26" s="150" t="str" cm="1">
        <f t="array" ref="AT26">IF(B26="","",_xll.BDP($B26,AT$9,"fill=b"))</f>
        <v/>
      </c>
      <c r="AU26" s="258" t="str" cm="1">
        <f t="array" ref="AU26">IF(B26="","",_xll.BDP($B26,AU$9,"fill=b"))</f>
        <v>CPN = BZDIOVRA INDEX + 99 BPS. ISSUED UNDER ICVM 476/09.</v>
      </c>
    </row>
    <row r="27" spans="2:47" ht="15" x14ac:dyDescent="0.25">
      <c r="B27" s="232" t="s">
        <v>297</v>
      </c>
      <c r="C27" s="150" t="str" cm="1">
        <f t="array" ref="C27">IF(B27="","",_xll.BDP($B27,C$9,"fill=b"))</f>
        <v>SBSPB5</v>
      </c>
      <c r="D27" s="150" t="str" cm="1">
        <f t="array" ref="D27">IF(B27="","",_xll.BDP($B27,D$9,"fill=b"))</f>
        <v>SBSPBZ 6.2 02/15/19</v>
      </c>
      <c r="E27" s="150" t="str" cm="1">
        <f t="array" ref="E27">IF(B27="","",_xll.BDP($B27,E$9,"fill=b"))</f>
        <v>CIA SANEAMENTO BASICO</v>
      </c>
      <c r="F27" s="150" t="str" cm="1">
        <f t="array" ref="F27">IF(B27="","",IF(LEFT(_xlfn.SINGLE(_xll.BDP($B27,F$9,"fill=b")),1)="#","-",_xll.BDP($B27,F$9,"fill=b")))</f>
        <v>1169Z BZ</v>
      </c>
      <c r="G27" s="150" t="str" cm="1">
        <f t="array" ref="G27">IF(B27="","",_xll.BDP($B27,G$9,"fill=b"))</f>
        <v>BRAZIL IPCA+SPREAD</v>
      </c>
      <c r="H27" s="150" t="str" cm="1">
        <f t="array" ref="H27">IF(B27="","",_xll.BDP($B27,H$9,"fill=b"))</f>
        <v/>
      </c>
      <c r="I27" s="150" t="str" cm="1">
        <f t="array" ref="I27">IF(LEFT(_xlfn.SINGLE(_xll.BDP(B27,"REFERENCE_INDEX")),1)="#",IF(LEFT(_xlfn.SINGLE(_xll.BDP(B27, "RESET_IDX"))&amp;" Index",1)="#","",_xlfn.SINGLE(_xll.BDP(B27, "RESET_IDX"))&amp;" Index"),_xll.BDP(B27,"REFERENCE_INDEX"))</f>
        <v>BZCLVLUE Index</v>
      </c>
      <c r="J27" s="150" t="str">
        <f>IF(I27="BZDIOVRA Index",IF(_xll.BDP(B27,"FLT_SPREAD")/100=0,_xll.BDP(B27,"FLT_BENCH_MULTIPLIER"),_xll.BDP(B27,"FLT_SPREAD")/100),"")</f>
        <v/>
      </c>
      <c r="K27" s="150" t="str" cm="1">
        <f t="array" ref="K27">IF(B27="","",IF(LEFT(_xlfn.SINGLE(_xll.BDP($B27,K$9,"fill=b")),1)="#","-",_xll.BDP($B27,K$9,"fill=b")))</f>
        <v>-</v>
      </c>
      <c r="L27" s="233"/>
      <c r="M27" s="234" t="e">
        <f t="shared" si="3"/>
        <v>#VALUE!</v>
      </c>
      <c r="N27" s="252" t="e">
        <f>IF(B27="","",IF(R27="",IF(OR(AD27="SINKABLE",AD27="CALL/SINK"),_xll.BDP(B27,$N$9,$M$9,M27,"PRICING SOURCE",$C$6,"FILL=B"),_xll.BDP(B27,$N$9,$M$9,M27,"PRICING SOURCE",$C$6,"FILL=B")),IF(OR(AD27="SINKABLE",AD27="CALL/SINK"),_xll.BDP(B27,$N$9,$Q$10,S27,$M$9,M27,"PRICING SOURCE",$C$6,"FILL=B"),_xll.BDP(B27,$N$9,$Q$9,S27,$M$9,M27,"PRICING SOURCE",$C$6,"FILL=B"))))</f>
        <v>#VALUE!</v>
      </c>
      <c r="O27" s="235"/>
      <c r="P27" s="236" t="e">
        <f t="shared" si="7"/>
        <v>#VALUE!</v>
      </c>
      <c r="Q27" s="166" t="str">
        <f>IF(ISERROR((IF(OR(AD27="SINKABLE",AD27="CALL/SINK"),_xll.BDP($B27,$Q$10,"fill=b","PRICING_SOURCE",$C$6,$AC27,$N$9,$P27,$M$9,$M27),_xll.BDP($B27,Q$9,"fill=b","PRICING_SOURCE",$C$6,$AC27,$N$9,$P27,$M$9,$M27)))*1),"",IF(OR(AD27="SINKABLE",AD27="CALL/SINK"),_xll.BDP($B27,$Q$10,"fill=b","PRICING_SOURCE",$C$6,$AC27,$N$9,$P27,$M$9,$M27),_xll.BDP($B27,Q$9,"fill=b","PRICING_SOURCE",$C$6,$AC27,$N$9,$P27,$M$9,$M27)))</f>
        <v/>
      </c>
      <c r="R27" s="237"/>
      <c r="S27" s="238" t="str">
        <f t="shared" si="8"/>
        <v/>
      </c>
      <c r="T27" s="239" cm="1">
        <f t="array" ref="T27">IF(ISERROR((_xlfn.SINGLE(IF(OR(AD27="SINKABLE",AD27="CALL/SINK"),_xll.BDP($B27,$Q$10,"fill=b","PRICING_SOURCE",$C$6,$AC27,$M$9,$U27,"px ask",$AE27),_xll.BDP($B27,Q$9,"fill=b","PRICING_SOURCE",$C$6,$AC27,$M$9,$U27,"px ask",$AE27))))*1),"",IF(OR(AD27="SINKABLE",AD27="CALL/SINK"),_xll.BDP($B27,$Q$10,"fill=b","PRICING_SOURCE",$C$6,$AC27,$M$9,$U27,"px ask",$AE27),_xll.BDP($B27,Q$9,"fill=b","PRICING_SOURCE",$C$6,$AC27,$M$9,$U27,"px ask",$AE27)))</f>
        <v>79.697933550582405</v>
      </c>
      <c r="U27" s="240" t="str">
        <f t="shared" si="0"/>
        <v>20120216</v>
      </c>
      <c r="V27" s="254" t="e" cm="1">
        <f t="array" ref="V27">IF(B27="","",IF(I27="BZDIOVRA Index",IF(OR(AD27="SINKABLE",AD27="CALL/SINK"),_xll.BDP($B27,"PX_ASK",$Q$10,J27,$M$9,M27),_xll.BDP($B27,"PX_"&amp;$H$7,$Q$9,J27,$M$9,M27)),_xll.BDP($B27,"PX_"&amp;$H$7,$Q$9,_xll.BDP(B27,"CPN"),$M$9,M27)))</f>
        <v>#VALUE!</v>
      </c>
      <c r="W27" s="254" t="str">
        <f t="shared" si="1"/>
        <v/>
      </c>
      <c r="X27" s="166" t="e">
        <f>IF(B27="","",IF(OR(AD27="SINKABLE",AD27="CALL/SINK"),_xll.BDP($B27,X$9,"fill=b","PRICING_SOURCE",$C$6,$AC27,$M$9,$M27,$N$9,$P27,$Q$10,$S27),_xll.BDP($B27,X$9,"fill=b","PRICING_SOURCE",$C$6,$AC27,$M$9,$M27,$N$9,$P27,$Q$9,$S27)))</f>
        <v>#VALUE!</v>
      </c>
      <c r="Y27" s="166" t="e">
        <f>IF(B27="","",IF(OR(AD27="SINKABLE",AD27="CALL/SINK"),_xll.BDP($B27,Y$9,"fill=b","PRICING_SOURCE",$C$6,$AC27,$M$9,$M27,$N$9,$P27,$Q$10,$S27),_xll.BDP($B27,Y$9,"fill=b","PRICING_SOURCE",$C$6,$AC27,$M$9,$M27,$N$9,$P27,$Q$9,$S27)))</f>
        <v>#VALUE!</v>
      </c>
      <c r="Z27" s="255" t="e">
        <f>IF(B27="","",IF(OR(AD27="SINKABLE",AD27="CALL/SINK"),_xll.BDP($B27,Z$9,"fill=b","PRICING_SOURCE",$C$6,$AC27,$M$9,$M27,$N$9,$P27,$Q$10,$S27),_xll.BDP($B27,Z$9,"fill=b","PRICING_SOURCE",$C$6,$AC27,$M$9,$M27,$N$9,$P27,$Q$9,$S27)))</f>
        <v>#VALUE!</v>
      </c>
      <c r="AA27" s="166" t="e">
        <f>IF(B27="","",IF(OR(AD27="SINKABLE",AD27="CALL/SINK"),_xll.BDP($B27,AA$9,"fill=b","PRICING_SOURCE",$C$6,$AC27,$M$9,$M27,$N$9,$P27,$Q$10,$S27),_xll.BDP($B27,AA$9,"fill=b","PRICING_SOURCE",$C$6,$AC27,$M$9,$M27,$N$9,$P27,$Q$9,$S27)))</f>
        <v>#VALUE!</v>
      </c>
      <c r="AB27" s="150" t="str" cm="1">
        <f t="array" ref="AB27">IF(B27="","",IF(LEFT(_xlfn.SINGLE(_xll.BDP($B27,AB$9,"fill=b")),1)="#","-",_xll.BDP($B27,AB$9,"fill=b")))</f>
        <v>2/15/2019</v>
      </c>
      <c r="AC27" s="150" t="str">
        <f t="shared" si="9"/>
        <v>YLD FLAG=28</v>
      </c>
      <c r="AD27" s="150" t="str" cm="1">
        <f t="array" ref="AD27">IF(B27="","",_xll.BDP($B27,AD$9,"fill=b"))</f>
        <v>SINKABLE</v>
      </c>
      <c r="AE27" s="256" cm="1">
        <f t="array" ref="AE27">IF(B27="","",IF(ISERROR(_xlfn.SINGLE(_xll.BDH(B27,"PX LAST",AN27,AN27,"DAYS=ALL","PRICING SOURCE",$C$6))*1),_xll.BDP(B27,"PAR AMT"),_xll.BDH(B27,"PX LAST",AN27,AN27,"DAYS=ALL","PRICING SOURCE",$C$6)))</f>
        <v>5000</v>
      </c>
      <c r="AF27" s="150" cm="1">
        <f t="array" ref="AF27">IF(B27="","",_xll.BDP($B27,AF$9,"fill=b"))</f>
        <v>6.2</v>
      </c>
      <c r="AG27" s="150"/>
      <c r="AH27" s="190" t="e">
        <f>IF(B27="","",IF($AD27="AT MATURITY",$AB27*1,_xll.BADDPERIODS(_xll.BDP($B27,"issue dt"),"numberofperiods",TRUNC(_xll.BDP($B27,"YRS_TO_LONGEST_AVG_LIFE","YLD_YTM_BID",AF27,"SETTLE_DT",U27,AC27),0),"per=y")+(ROUND(MOD(_xll.BDP(B27,"YRS_TO_LONGEST_AVG_LIFE","YLD_YTM_BID",AF27,"SETTLE_DT",U27,AC27),1)*360,0))))</f>
        <v>#VALUE!</v>
      </c>
      <c r="AI27" s="150" t="e" cm="1">
        <f t="array" ref="AI27">IF(B27="","",AF27-_xll.BInterpol(_xll.BDP(_xll.BDS("YCGT0372 Index","curve members","CURVE_DATE", $U27,"endcol=1","array=true"),"maturity")*1,_xll.BDH(_xll.BDS("YCGT0372 Index","curve members","CURVE_DATE", $U27,"endcol=1","array=true"),"yld cnv mid",$U27,$U27,"days=all"),AH27,"CUBIC","Extrapolate=LINEAR","SKIP=TRUE","SORT=TRUE","MultiX=Average"))</f>
        <v>#VALUE!</v>
      </c>
      <c r="AJ27" s="189" t="str">
        <f t="shared" si="2"/>
        <v/>
      </c>
      <c r="AK27" s="257" t="str" cm="1">
        <f t="array" ref="AK27">IF(B27="","",_xll.BDP($B27,AK$9,"fill=b"))</f>
        <v>483.75MM</v>
      </c>
      <c r="AL27" s="257" t="str" cm="1">
        <f t="array" ref="AL27">IF(B27="","",_xll.BDP($B27,AL$9,"fill=b"))</f>
        <v>0</v>
      </c>
      <c r="AM27" s="256" cm="1">
        <f t="array" ref="AM27">IF(B27="","",_xll.BDP($B27,AM$9,"fill=b"))</f>
        <v>5000</v>
      </c>
      <c r="AN27" s="150" t="str" cm="1">
        <f t="array" ref="AN27">IF(B27="","",_xll.BDP($B27,AN$9,"fill=b"))</f>
        <v>2/16/2012</v>
      </c>
      <c r="AO27" s="150" t="str" cm="1">
        <f t="array" ref="AO27">IF(B27="","",IF(LEFT(_xlfn.SINGLE(_xll.BDP($B27,AO$9,"fill=b")),1)="#","-",_xll.BDP($B27,AO$9,"fill=b")))</f>
        <v>BTG,BESINV</v>
      </c>
      <c r="AP27" s="150" t="str" cm="1">
        <f t="array" ref="AP27">IF(B27="","",_xll.BDP($B27,AP$9,"fill=b"))</f>
        <v>Utilities</v>
      </c>
      <c r="AQ27" s="150" t="str" cm="1">
        <f t="array" ref="AQ27">IF(B27="","",_xll.BDP($B27,AQ$9,"fill=b"))</f>
        <v>Water</v>
      </c>
      <c r="AR27" s="150" t="str" cm="1">
        <f t="array" ref="AR27">IF(B27="","",_xll.BDP($B27,AR$9,"fill=b"))</f>
        <v>brAAA</v>
      </c>
      <c r="AS27" s="150" t="str" cm="1">
        <f t="array" ref="AS27">IF(B27="","",_xll.BDP($B27,AS$9,"fill=b"))</f>
        <v>WR</v>
      </c>
      <c r="AT27" s="150" t="str" cm="1">
        <f t="array" ref="AT27">IF(B27="","",_xll.BDP($B27,AT$9,"fill=b"))</f>
        <v/>
      </c>
      <c r="AU27" s="258" t="str" cm="1">
        <f t="array" ref="AU27">IF(B27="","",_xll.BDP($B27,AU$9,"fill=b"))</f>
        <v>RDMPTN AND CPN  LINKED TO IPCA.  BZCLVLUE Index + 620BPS. ISSUED UNDER ICVM476.</v>
      </c>
    </row>
    <row r="28" spans="2:47" ht="15" x14ac:dyDescent="0.25">
      <c r="B28" s="232" t="s">
        <v>304</v>
      </c>
      <c r="C28" s="150" t="str" cm="1">
        <f t="array" ref="C28">IF(B28="","",_xll.BDP($B28,C$9,"fill=b"))</f>
        <v>SULM11</v>
      </c>
      <c r="D28" s="150" t="str" cm="1">
        <f t="array" ref="D28">IF(B28="","",_xll.BDP($B28,D$9,"fill=b"))</f>
        <v>SULABZ Float 02/06/17</v>
      </c>
      <c r="E28" s="150" t="str" cm="1">
        <f t="array" ref="E28">IF(B28="","",_xll.BDP($B28,E$9,"fill=b"))</f>
        <v>SUL AMERICA SA</v>
      </c>
      <c r="F28" s="150" t="str" cm="1">
        <f t="array" ref="F28">IF(B28="","",IF(LEFT(_xlfn.SINGLE(_xll.BDP($B28,F$9,"fill=b")),1)="#","-",_xll.BDP($B28,F$9,"fill=b")))</f>
        <v>RDOR3 BZ</v>
      </c>
      <c r="G28" s="150" t="str" cm="1">
        <f t="array" ref="G28">IF(B28="","",_xll.BDP($B28,G$9,"fill=b"))</f>
        <v>BRAZIL DI+SPREAD</v>
      </c>
      <c r="H28" s="150" t="str" cm="1">
        <f t="array" ref="H28">IF(B28="","",_xll.BDP($B28,H$9,"fill=b"))</f>
        <v>OVRA BZDI +115.000</v>
      </c>
      <c r="I28" s="150" t="str" cm="1">
        <f t="array" ref="I28">IF(LEFT(_xlfn.SINGLE(_xll.BDP(B28,"REFERENCE_INDEX")),1)="#",IF(LEFT(_xlfn.SINGLE(_xll.BDP(B28, "RESET_IDX"))&amp;" Index",1)="#","",_xlfn.SINGLE(_xll.BDP(B28, "RESET_IDX"))&amp;" Index"),_xll.BDP(B28,"REFERENCE_INDEX"))</f>
        <v>BZDIOVRA Index</v>
      </c>
      <c r="J28" s="150" cm="1">
        <f t="array" ref="J28">IF(I28="BZDIOVRA Index",IF(_xlfn.SINGLE(_xll.BDP(B28,"FLT_SPREAD"))/100=0,_xll.BDP(B28,"FLT_BENCH_MULTIPLIER"),_xlfn.SINGLE(_xll.BDP(B28,"FLT_SPREAD"))/100),"")</f>
        <v>1.1499999999999999</v>
      </c>
      <c r="K28" s="150" t="str" cm="1">
        <f t="array" ref="K28">IF(B28="","",IF(LEFT(_xlfn.SINGLE(_xll.BDP($B28,K$9,"fill=b")),1)="#","-",_xll.BDP($B28,K$9,"fill=b")))</f>
        <v>-</v>
      </c>
      <c r="L28" s="233"/>
      <c r="M28" s="234" t="e">
        <f t="shared" si="3"/>
        <v>#VALUE!</v>
      </c>
      <c r="N28" s="252" t="e">
        <f>IF(B28="","",IF(R28="",IF(OR(AD28="SINKABLE",AD28="CALL/SINK"),_xll.BDP(B28,$N$9,$M$9,M28,"PRICING SOURCE",$C$6,"FILL=B"),_xll.BDP(B28,$N$9,$M$9,M28,"PRICING SOURCE",$C$6,"FILL=B")),IF(OR(AD28="SINKABLE",AD28="CALL/SINK"),_xll.BDP(B28,$N$9,$Q$10,S28,$M$9,M28,"PRICING SOURCE",$C$6,"FILL=B"),_xll.BDP(B28,$N$9,$Q$9,S28,$M$9,M28,"PRICING SOURCE",$C$6,"FILL=B"))))</f>
        <v>#VALUE!</v>
      </c>
      <c r="O28" s="235"/>
      <c r="P28" s="236" t="e">
        <f t="shared" si="7"/>
        <v>#VALUE!</v>
      </c>
      <c r="Q28" s="166" t="str">
        <f>IF(ISERROR((IF(OR(AD28="SINKABLE",AD28="CALL/SINK"),_xll.BDP($B28,$Q$10,"fill=b","PRICING_SOURCE",$C$6,$AC28,$N$9,$P28,$M$9,$M28),_xll.BDP($B28,Q$9,"fill=b","PRICING_SOURCE",$C$6,$AC28,$N$9,$P28,$M$9,$M28)))*1),"",IF(OR(AD28="SINKABLE",AD28="CALL/SINK"),_xll.BDP($B28,$Q$10,"fill=b","PRICING_SOURCE",$C$6,$AC28,$N$9,$P28,$M$9,$M28),_xll.BDP($B28,Q$9,"fill=b","PRICING_SOURCE",$C$6,$AC28,$N$9,$P28,$M$9,$M28)))</f>
        <v/>
      </c>
      <c r="R28" s="237"/>
      <c r="S28" s="238" t="str">
        <f t="shared" si="8"/>
        <v/>
      </c>
      <c r="T28" s="239" cm="1">
        <f t="array" ref="T28">IF(ISERROR((_xlfn.SINGLE(IF(OR(AD28="SINKABLE",AD28="CALL/SINK"),_xll.BDP($B28,$Q$10,"fill=b","PRICING_SOURCE",$C$6,$AC28,$M$9,$U28,"px ask",$AE28),_xll.BDP($B28,Q$9,"fill=b","PRICING_SOURCE",$C$6,$AC28,$M$9,$U28,"px ask",$AE28))))*1),"",IF(OR(AD28="SINKABLE",AD28="CALL/SINK"),_xll.BDP($B28,$Q$10,"fill=b","PRICING_SOURCE",$C$6,$AC28,$M$9,$U28,"px ask",$AE28),_xll.BDP($B28,Q$9,"fill=b","PRICING_SOURCE",$C$6,$AC28,$M$9,$U28,"px ask",$AE28)))</f>
        <v>46.185440636900019</v>
      </c>
      <c r="U28" s="240" t="str">
        <f t="shared" si="0"/>
        <v>20120206</v>
      </c>
      <c r="V28" s="254" t="e" cm="1">
        <f t="array" ref="V28">IF(B28="","",IF(I28="BZDIOVRA Index",IF(OR(AD28="SINKABLE",AD28="CALL/SINK"),_xll.BDP($B28,"PX_ASK",$Q$10,J28,$M$9,M28),_xll.BDP($B28,"PX_"&amp;$H$7,$Q$9,J28,$M$9,M28)),_xll.BDP($B28,"PX_"&amp;$H$7,$Q$9,_xll.BDP(B28,"CPN"),$M$9,M28)))</f>
        <v>#VALUE!</v>
      </c>
      <c r="W28" s="254" t="str">
        <f t="shared" si="1"/>
        <v/>
      </c>
      <c r="X28" s="166" t="e">
        <f>IF(B28="","",IF(OR(AD28="SINKABLE",AD28="CALL/SINK"),_xll.BDP($B28,X$9,"fill=b","PRICING_SOURCE",$C$6,$AC28,$M$9,$M28,$N$9,$P28,$Q$10,$S28),_xll.BDP($B28,X$9,"fill=b","PRICING_SOURCE",$C$6,$AC28,$M$9,$M28,$N$9,$P28,$Q$9,$S28)))</f>
        <v>#VALUE!</v>
      </c>
      <c r="Y28" s="166" t="e">
        <f>IF(B28="","",IF(OR(AD28="SINKABLE",AD28="CALL/SINK"),_xll.BDP($B28,Y$9,"fill=b","PRICING_SOURCE",$C$6,$AC28,$M$9,$M28,$N$9,$P28,$Q$10,$S28),_xll.BDP($B28,Y$9,"fill=b","PRICING_SOURCE",$C$6,$AC28,$M$9,$M28,$N$9,$P28,$Q$9,$S28)))</f>
        <v>#VALUE!</v>
      </c>
      <c r="Z28" s="255" t="e">
        <f>IF(B28="","",IF(OR(AD28="SINKABLE",AD28="CALL/SINK"),_xll.BDP($B28,Z$9,"fill=b","PRICING_SOURCE",$C$6,$AC28,$M$9,$M28,$N$9,$P28,$Q$10,$S28),_xll.BDP($B28,Z$9,"fill=b","PRICING_SOURCE",$C$6,$AC28,$M$9,$M28,$N$9,$P28,$Q$9,$S28)))</f>
        <v>#VALUE!</v>
      </c>
      <c r="AA28" s="166" t="e">
        <f>IF(B28="","",IF(OR(AD28="SINKABLE",AD28="CALL/SINK"),_xll.BDP($B28,AA$9,"fill=b","PRICING_SOURCE",$C$6,$AC28,$M$9,$M28,$N$9,$P28,$Q$10,$S28),_xll.BDP($B28,AA$9,"fill=b","PRICING_SOURCE",$C$6,$AC28,$M$9,$M28,$N$9,$P28,$Q$9,$S28)))</f>
        <v>#VALUE!</v>
      </c>
      <c r="AB28" s="150" t="str" cm="1">
        <f t="array" ref="AB28">IF(B28="","",IF(LEFT(_xlfn.SINGLE(_xll.BDP($B28,AB$9,"fill=b")),1)="#","-",_xll.BDP($B28,AB$9,"fill=b")))</f>
        <v>2/6/2017</v>
      </c>
      <c r="AC28" s="150" t="str">
        <f t="shared" si="9"/>
        <v>YLD FLAG=28</v>
      </c>
      <c r="AD28" s="150" t="str" cm="1">
        <f t="array" ref="AD28">IF(B28="","",_xll.BDP($B28,AD$9,"fill=b"))</f>
        <v>SINKABLE</v>
      </c>
      <c r="AE28" s="256" cm="1">
        <f t="array" ref="AE28">IF(B28="","",IF(ISERROR(_xlfn.SINGLE(_xll.BDH(B28,"PX LAST",AN28,AN28,"DAYS=ALL","PRICING SOURCE",$C$6))*1),_xll.BDP(B28,"PAR AMT"),_xll.BDH(B28,"PX LAST",AN28,AN28,"DAYS=ALL","PRICING SOURCE",$C$6)))</f>
        <v>3334</v>
      </c>
      <c r="AF28" s="150" cm="1">
        <f t="array" ref="AF28">IF(B28="","",_xll.BDP($B28,AF$9,"fill=b"))</f>
        <v>7.2821130770000009</v>
      </c>
      <c r="AG28" s="150"/>
      <c r="AH28" s="190">
        <f>IF(B28="","",IF($AD28="AT MATURITY",$AB28*1,_xll.BADDPERIODS(_xll.BDP($B28,"issue dt"),"numberofperiods",TRUNC(_xll.BDP($B28,"YRS_TO_LONGEST_AVG_LIFE","YLD_YTM_BID",AF28,"SETTLE_DT",U28,AC28),0),"per=y")+(ROUND(MOD(_xll.BDP(B28,"YRS_TO_LONGEST_AVG_LIFE","YLD_YTM_BID",AF28,"SETTLE_DT",U28,AC28),1)*360,0))))</f>
        <v>42410</v>
      </c>
      <c r="AI28" s="150" t="e" cm="1">
        <f t="array" ref="AI28">IF(B28="","",AF28-_xll.BInterpol(_xll.BDP(_xll.BDS("YCGT0372 Index","curve members","CURVE_DATE", $U28,"endcol=1","array=true"),"maturity")*1,_xll.BDH(_xll.BDS("YCGT0372 Index","curve members","CURVE_DATE", $U28,"endcol=1","array=true"),"yld cnv mid",$U28,$U28,"days=all"),AH28,"CUBIC","Extrapolate=LINEAR","SKIP=TRUE","SORT=TRUE","MultiX=Average"))</f>
        <v>#VALUE!</v>
      </c>
      <c r="AJ28" s="189">
        <f t="shared" si="2"/>
        <v>1.1499999999999999</v>
      </c>
      <c r="AK28" s="257" t="str" cm="1">
        <f t="array" ref="AK28">IF(B28="","",_xll.BDP($B28,AK$9,"fill=b"))</f>
        <v>500MM</v>
      </c>
      <c r="AL28" s="257" t="str" cm="1">
        <f t="array" ref="AL28">IF(B28="","",_xll.BDP($B28,AL$9,"fill=b"))</f>
        <v>0</v>
      </c>
      <c r="AM28" s="256" cm="1">
        <f t="array" ref="AM28">IF(B28="","",_xll.BDP($B28,AM$9,"fill=b"))</f>
        <v>3334</v>
      </c>
      <c r="AN28" s="150" t="str" cm="1">
        <f t="array" ref="AN28">IF(B28="","",_xll.BDP($B28,AN$9,"fill=b"))</f>
        <v>2/6/2012</v>
      </c>
      <c r="AO28" s="150" t="str" cm="1">
        <f t="array" ref="AO28">IF(B28="","",IF(LEFT(_xlfn.SINGLE(_xll.BDP($B28,AO$9,"fill=b")),1)="#","-",_xll.BDP($B28,AO$9,"fill=b")))</f>
        <v>JOINT LEADS</v>
      </c>
      <c r="AP28" s="150" t="str" cm="1">
        <f t="array" ref="AP28">IF(B28="","",_xll.BDP($B28,AP$9,"fill=b"))</f>
        <v>Financial</v>
      </c>
      <c r="AQ28" s="150" t="str" cm="1">
        <f t="array" ref="AQ28">IF(B28="","",_xll.BDP($B28,AQ$9,"fill=b"))</f>
        <v>Insurance</v>
      </c>
      <c r="AR28" s="150" t="str" cm="1">
        <f t="array" ref="AR28">IF(B28="","",_xll.BDP($B28,AR$9,"fill=b"))</f>
        <v>NR</v>
      </c>
      <c r="AS28" s="150" t="str" cm="1">
        <f t="array" ref="AS28">IF(B28="","",_xll.BDP($B28,AS$9,"fill=b"))</f>
        <v/>
      </c>
      <c r="AT28" s="150" t="str" cm="1">
        <f t="array" ref="AT28">IF(B28="","",_xll.BDP($B28,AT$9,"fill=b"))</f>
        <v>NR</v>
      </c>
      <c r="AU28" s="258" t="str" cm="1">
        <f t="array" ref="AU28">IF(B28="","",_xll.BDP($B28,AU$9,"fill=b"))</f>
        <v>CPN = BZDIOVRA INDEX + 115 BP   /   ISSUED UNDER 476</v>
      </c>
    </row>
    <row r="29" spans="2:47" ht="15" x14ac:dyDescent="0.25">
      <c r="B29" s="232" t="s">
        <v>339</v>
      </c>
      <c r="C29" s="150" t="str" cm="1">
        <f t="array" ref="C29">IF(B29="","",_xll.BDP($B29,C$9,"fill=b"))</f>
        <v>CSMG16</v>
      </c>
      <c r="D29" s="150" t="str" cm="1">
        <f t="array" ref="D29">IF(B29="","",_xll.BDP($B29,D$9,"fill=b"))</f>
        <v>CSMGBZ Float 02/15/17</v>
      </c>
      <c r="E29" s="150" t="str" cm="1">
        <f t="array" ref="E29">IF(B29="","",_xll.BDP($B29,E$9,"fill=b"))</f>
        <v>CIA DE SANEAMENTO DE MG</v>
      </c>
      <c r="F29" s="150" t="str" cm="1">
        <f t="array" ref="F29">IF(B29="","",IF(LEFT(_xlfn.SINGLE(_xll.BDP($B29,F$9,"fill=b")),1)="#","-",_xll.BDP($B29,F$9,"fill=b")))</f>
        <v>1247Z BZ</v>
      </c>
      <c r="G29" s="150" t="str" cm="1">
        <f t="array" ref="G29">IF(B29="","",_xll.BDP($B29,G$9,"fill=b"))</f>
        <v>BRAZIL DI+SPREAD</v>
      </c>
      <c r="H29" s="150" t="str" cm="1">
        <f t="array" ref="H29">IF(B29="","",_xll.BDP($B29,H$9,"fill=b"))</f>
        <v>OVRA BZDI +94.000</v>
      </c>
      <c r="I29" s="150" t="str" cm="1">
        <f t="array" ref="I29">IF(LEFT(_xlfn.SINGLE(_xll.BDP(B29,"REFERENCE_INDEX")),1)="#",IF(LEFT(_xlfn.SINGLE(_xll.BDP(B29, "RESET_IDX"))&amp;" Index",1)="#","",_xlfn.SINGLE(_xll.BDP(B29, "RESET_IDX"))&amp;" Index"),_xll.BDP(B29,"REFERENCE_INDEX"))</f>
        <v>BZDIOVRA Index</v>
      </c>
      <c r="J29" s="150" cm="1">
        <f t="array" ref="J29">IF(I29="BZDIOVRA Index",IF(_xlfn.SINGLE(_xll.BDP(B29,"FLT_SPREAD"))/100=0,_xll.BDP(B29,"FLT_BENCH_MULTIPLIER"),_xlfn.SINGLE(_xll.BDP(B29,"FLT_SPREAD"))/100),"")</f>
        <v>0.94</v>
      </c>
      <c r="K29" s="150" t="str" cm="1">
        <f t="array" ref="K29">IF(B29="","",IF(LEFT(_xlfn.SINGLE(_xll.BDP($B29,K$9,"fill=b")),1)="#","-",_xll.BDP($B29,K$9,"fill=b")))</f>
        <v>-</v>
      </c>
      <c r="L29" s="233"/>
      <c r="M29" s="234" t="e">
        <f t="shared" si="3"/>
        <v>#VALUE!</v>
      </c>
      <c r="N29" s="252" t="e">
        <f>IF(B29="","",IF(R29="",IF(OR(AD29="SINKABLE",AD29="CALL/SINK"),_xll.BDP(B29,$N$9,$M$9,M29,"PRICING SOURCE",$C$6,"FILL=B"),_xll.BDP(B29,$N$9,$M$9,M29,"PRICING SOURCE",$C$6,"FILL=B")),IF(OR(AD29="SINKABLE",AD29="CALL/SINK"),_xll.BDP(B29,$N$9,$Q$10,S29,$M$9,M29,"PRICING SOURCE",$C$6,"FILL=B"),_xll.BDP(B29,$N$9,$Q$9,S29,$M$9,M29,"PRICING SOURCE",$C$6,"FILL=B"))))</f>
        <v>#VALUE!</v>
      </c>
      <c r="O29" s="235"/>
      <c r="P29" s="236" t="e">
        <f t="shared" si="7"/>
        <v>#VALUE!</v>
      </c>
      <c r="Q29" s="166" t="str">
        <f>IF(ISERROR((IF(OR(AD29="SINKABLE",AD29="CALL/SINK"),_xll.BDP($B29,$Q$10,"fill=b","PRICING_SOURCE",$C$6,$AC29,$N$9,$P29,$M$9,$M29),_xll.BDP($B29,Q$9,"fill=b","PRICING_SOURCE",$C$6,$AC29,$N$9,$P29,$M$9,$M29)))*1),"",IF(OR(AD29="SINKABLE",AD29="CALL/SINK"),_xll.BDP($B29,$Q$10,"fill=b","PRICING_SOURCE",$C$6,$AC29,$N$9,$P29,$M$9,$M29),_xll.BDP($B29,Q$9,"fill=b","PRICING_SOURCE",$C$6,$AC29,$N$9,$P29,$M$9,$M29)))</f>
        <v/>
      </c>
      <c r="R29" s="237"/>
      <c r="S29" s="238" t="str">
        <f t="shared" si="8"/>
        <v/>
      </c>
      <c r="T29" s="239" cm="1">
        <f t="array" ref="T29">IF(ISERROR((_xlfn.SINGLE(IF(OR(AD29="SINKABLE",AD29="CALL/SINK"),_xll.BDP($B29,$Q$10,"fill=b","PRICING_SOURCE",$C$6,$AC29,$M$9,$U29,"px ask",$AE29),_xll.BDP($B29,Q$9,"fill=b","PRICING_SOURCE",$C$6,$AC29,$M$9,$U29,"px ask",$AE29))))*1),"",IF(OR(AD29="SINKABLE",AD29="CALL/SINK"),_xll.BDP($B29,$Q$10,"fill=b","PRICING_SOURCE",$C$6,$AC29,$M$9,$U29,"px ask",$AE29),_xll.BDP($B29,Q$9,"fill=b","PRICING_SOURCE",$C$6,$AC29,$M$9,$U29,"px ask",$AE29)))</f>
        <v>138.67626396954478</v>
      </c>
      <c r="U29" s="240" t="str">
        <f t="shared" si="0"/>
        <v>20120215</v>
      </c>
      <c r="V29" s="254" t="e" cm="1">
        <f t="array" ref="V29">IF(B29="","",IF(I29="BZDIOVRA Index",IF(OR(AD29="SINKABLE",AD29="CALL/SINK"),_xll.BDP($B29,"PX_ASK",$Q$10,J29,$M$9,M29),_xll.BDP($B29,"PX_"&amp;$H$7,$Q$9,J29,$M$9,M29)),_xll.BDP($B29,"PX_"&amp;$H$7,$Q$9,_xll.BDP(B29,"CPN"),$M$9,M29)))</f>
        <v>#VALUE!</v>
      </c>
      <c r="W29" s="254" t="str">
        <f t="shared" si="1"/>
        <v/>
      </c>
      <c r="X29" s="166" t="e">
        <f>IF(B29="","",IF(OR(AD29="SINKABLE",AD29="CALL/SINK"),_xll.BDP($B29,X$9,"fill=b","PRICING_SOURCE",$C$6,$AC29,$M$9,$M29,$N$9,$P29,$Q$10,$S29),_xll.BDP($B29,X$9,"fill=b","PRICING_SOURCE",$C$6,$AC29,$M$9,$M29,$N$9,$P29,$Q$9,$S29)))</f>
        <v>#VALUE!</v>
      </c>
      <c r="Y29" s="166" t="e">
        <f>IF(B29="","",IF(OR(AD29="SINKABLE",AD29="CALL/SINK"),_xll.BDP($B29,Y$9,"fill=b","PRICING_SOURCE",$C$6,$AC29,$M$9,$M29,$N$9,$P29,$Q$10,$S29),_xll.BDP($B29,Y$9,"fill=b","PRICING_SOURCE",$C$6,$AC29,$M$9,$M29,$N$9,$P29,$Q$9,$S29)))</f>
        <v>#VALUE!</v>
      </c>
      <c r="Z29" s="255" t="e">
        <f>IF(B29="","",IF(OR(AD29="SINKABLE",AD29="CALL/SINK"),_xll.BDP($B29,Z$9,"fill=b","PRICING_SOURCE",$C$6,$AC29,$M$9,$M29,$N$9,$P29,$Q$10,$S29),_xll.BDP($B29,Z$9,"fill=b","PRICING_SOURCE",$C$6,$AC29,$M$9,$M29,$N$9,$P29,$Q$9,$S29)))</f>
        <v>#VALUE!</v>
      </c>
      <c r="AA29" s="166" t="e">
        <f>IF(B29="","",IF(OR(AD29="SINKABLE",AD29="CALL/SINK"),_xll.BDP($B29,AA$9,"fill=b","PRICING_SOURCE",$C$6,$AC29,$M$9,$M29,$N$9,$P29,$Q$10,$S29),_xll.BDP($B29,AA$9,"fill=b","PRICING_SOURCE",$C$6,$AC29,$M$9,$M29,$N$9,$P29,$Q$9,$S29)))</f>
        <v>#VALUE!</v>
      </c>
      <c r="AB29" s="150" t="str" cm="1">
        <f t="array" ref="AB29">IF(B29="","",IF(LEFT(_xlfn.SINGLE(_xll.BDP($B29,AB$9,"fill=b")),1)="#","-",_xll.BDP($B29,AB$9,"fill=b")))</f>
        <v>2/15/2017</v>
      </c>
      <c r="AC29" s="150" t="str">
        <f t="shared" si="9"/>
        <v>YLD FLAG=28</v>
      </c>
      <c r="AD29" s="150" t="str" cm="1">
        <f t="array" ref="AD29">IF(B29="","",_xll.BDP($B29,AD$9,"fill=b"))</f>
        <v>SINKABLE</v>
      </c>
      <c r="AE29" s="256" cm="1">
        <f t="array" ref="AE29">IF(B29="","",IF(ISERROR(_xlfn.SINGLE(_xll.BDH(B29,"PX LAST",AN29,AN29,"DAYS=ALL","PRICING SOURCE",$C$6))*1),_xll.BDP(B29,"PAR AMT"),_xll.BDH(B29,"PX LAST",AN29,AN29,"DAYS=ALL","PRICING SOURCE",$C$6)))</f>
        <v>142600</v>
      </c>
      <c r="AF29" s="150" cm="1">
        <f t="array" ref="AF29">IF(B29="","",_xll.BDP($B29,AF$9,"fill=b"))</f>
        <v>3.5450868999999998</v>
      </c>
      <c r="AG29" s="150"/>
      <c r="AH29" s="190">
        <f>IF(B29="","",IF($AD29="AT MATURITY",$AB29*1,_xll.BADDPERIODS(_xll.BDP($B29,"issue dt"),"numberofperiods",TRUNC(_xll.BDP($B29,"YRS_TO_LONGEST_AVG_LIFE","YLD_YTM_BID",AF29,"SETTLE_DT",U29,AC29),0),"per=y")+(ROUND(MOD(_xll.BDP(B29,"YRS_TO_LONGEST_AVG_LIFE","YLD_YTM_BID",AF29,"SETTLE_DT",U29,AC29),1)*360,0))))</f>
        <v>42231</v>
      </c>
      <c r="AI29" s="150" t="e">
        <f t="array" ref="AI29">IF(B29="","",AF29-_xll.BInterpol(_xll.BDP(_xll.BDS("YCGT0372 Index","curve members","CURVE_DATE", $U29,"endcol=1","array=true"),"maturity")*1,_xll.BDH(_xll.BDS("YCGT0372 Index","curve members","CURVE_DATE", $U29,"endcol=1","array=true"),"yld cnv mid",$U29,$U29,"days=all"),AH29,"CUBIC","Extrapolate=LINEAR","SKIP=TRUE","SORT=TRUE","MultiX=Average"))</f>
        <v>#VALUE!</v>
      </c>
      <c r="AJ29" s="189">
        <f t="shared" si="2"/>
        <v>0.94</v>
      </c>
      <c r="AK29" s="257" t="str" cm="1">
        <f t="array" ref="AK29">IF(B29="","",_xll.BDP($B29,AK$9,"fill=b"))</f>
        <v>200MM</v>
      </c>
      <c r="AL29" s="257" t="str" cm="1">
        <f t="array" ref="AL29">IF(B29="","",_xll.BDP($B29,AL$9,"fill=b"))</f>
        <v>0</v>
      </c>
      <c r="AM29" s="256" cm="1">
        <f t="array" ref="AM29">IF(B29="","",_xll.BDP($B29,AM$9,"fill=b"))</f>
        <v>142600</v>
      </c>
      <c r="AN29" s="150" t="str" cm="1">
        <f t="array" ref="AN29">IF(B29="","",_xll.BDP($B29,AN$9,"fill=b"))</f>
        <v>2/15/2012</v>
      </c>
      <c r="AO29" s="150" t="str" cm="1">
        <f t="array" ref="AO29">IF(B29="","",IF(LEFT(_xlfn.SINGLE(_xll.BDP($B29,AO$9,"fill=b")),1)="#","-",_xll.BDP($B29,AO$9,"fill=b")))</f>
        <v>BBINVE,HSBC</v>
      </c>
      <c r="AP29" s="150" t="str" cm="1">
        <f t="array" ref="AP29">IF(B29="","",_xll.BDP($B29,AP$9,"fill=b"))</f>
        <v>Utilities</v>
      </c>
      <c r="AQ29" s="150" t="str" cm="1">
        <f t="array" ref="AQ29">IF(B29="","",_xll.BDP($B29,AQ$9,"fill=b"))</f>
        <v>Water</v>
      </c>
      <c r="AR29" s="150" t="str" cm="1">
        <f t="array" ref="AR29">IF(B29="","",_xll.BDP($B29,AR$9,"fill=b"))</f>
        <v/>
      </c>
      <c r="AS29" s="150" t="str" cm="1">
        <f t="array" ref="AS29">IF(B29="","",_xll.BDP($B29,AS$9,"fill=b"))</f>
        <v/>
      </c>
      <c r="AT29" s="150" t="str" cm="1">
        <f t="array" ref="AT29">IF(B29="","",_xll.BDP($B29,AT$9,"fill=b"))</f>
        <v/>
      </c>
      <c r="AU29" s="258" t="str" cm="1">
        <f t="array" ref="AU29">IF(B29="","",_xll.BDP($B29,AU$9,"fill=b"))</f>
        <v>CPN = BZDIOVRA INDEX + 94BP   /   ISSUED UNDER 476</v>
      </c>
    </row>
    <row r="30" spans="2:47" ht="15" x14ac:dyDescent="0.25">
      <c r="B30" s="232" t="s">
        <v>280</v>
      </c>
      <c r="C30" s="150" t="str" cm="1">
        <f t="array" ref="C30">IF(B30="","",_xll.BDP($B30,C$9,"fill=b"))</f>
        <v>CSMG26</v>
      </c>
      <c r="D30" s="150" t="str" cm="1">
        <f t="array" ref="D30">IF(B30="","",_xll.BDP($B30,D$9,"fill=b"))</f>
        <v>CSMGBZ 6.0246 02/15/19</v>
      </c>
      <c r="E30" s="150" t="str" cm="1">
        <f t="array" ref="E30">IF(B30="","",_xll.BDP($B30,E$9,"fill=b"))</f>
        <v>CIA DE SANEAMENTO DE MG</v>
      </c>
      <c r="F30" s="150" t="str" cm="1">
        <f t="array" ref="F30">IF(B30="","",IF(LEFT(_xlfn.SINGLE(_xll.BDP($B30,F$9,"fill=b")),1)="#","-",_xll.BDP($B30,F$9,"fill=b")))</f>
        <v>1247Z BZ</v>
      </c>
      <c r="G30" s="150" t="str" cm="1">
        <f t="array" ref="G30">IF(B30="","",_xll.BDP($B30,G$9,"fill=b"))</f>
        <v>BRAZIL IPCA+SPREAD</v>
      </c>
      <c r="H30" s="150" t="str" cm="1">
        <f t="array" ref="H30">IF(B30="","",_xll.BDP($B30,H$9,"fill=b"))</f>
        <v/>
      </c>
      <c r="I30" s="150" t="str" cm="1">
        <f t="array" ref="I30">IF(LEFT(_xlfn.SINGLE(_xll.BDP(B30,"REFERENCE_INDEX")),1)="#",IF(LEFT(_xlfn.SINGLE(_xll.BDP(B30, "RESET_IDX"))&amp;" Index",1)="#","",_xlfn.SINGLE(_xll.BDP(B30, "RESET_IDX"))&amp;" Index"),_xll.BDP(B30,"REFERENCE_INDEX"))</f>
        <v>BZCLVLUE Index</v>
      </c>
      <c r="J30" s="150" t="str">
        <f>IF(I30="BZDIOVRA Index",IF(_xll.BDP(B30,"FLT_SPREAD")/100=0,_xll.BDP(B30,"FLT_BENCH_MULTIPLIER"),_xll.BDP(B30,"FLT_SPREAD")/100),"")</f>
        <v/>
      </c>
      <c r="K30" s="150" t="str" cm="1">
        <f t="array" ref="K30">IF(B30="","",IF(LEFT(_xlfn.SINGLE(_xll.BDP($B30,K$9,"fill=b")),1)="#","-",_xll.BDP($B30,K$9,"fill=b")))</f>
        <v>-</v>
      </c>
      <c r="L30" s="233"/>
      <c r="M30" s="234" t="e">
        <f t="shared" si="3"/>
        <v>#VALUE!</v>
      </c>
      <c r="N30" s="252" t="e">
        <f>IF(B30="","",IF(R30="",IF(OR(AD30="SINKABLE",AD30="CALL/SINK"),_xll.BDP(B30,$N$9,$M$9,M30,"PRICING SOURCE",$C$6,"FILL=B"),_xll.BDP(B30,$N$9,$M$9,M30,"PRICING SOURCE",$C$6,"FILL=B")),IF(OR(AD30="SINKABLE",AD30="CALL/SINK"),_xll.BDP(B30,$N$9,$Q$10,S30,$M$9,M30,"PRICING SOURCE",$C$6,"FILL=B"),_xll.BDP(B30,$N$9,$Q$9,S30,$M$9,M30,"PRICING SOURCE",$C$6,"FILL=B"))))</f>
        <v>#VALUE!</v>
      </c>
      <c r="O30" s="235"/>
      <c r="P30" s="236" t="e">
        <f t="shared" si="7"/>
        <v>#VALUE!</v>
      </c>
      <c r="Q30" s="166" t="str">
        <f>IF(ISERROR((IF(OR(AD30="SINKABLE",AD30="CALL/SINK"),_xll.BDP($B30,$Q$10,"fill=b","PRICING_SOURCE",$C$6,$AC30,$N$9,$P30,$M$9,$M30),_xll.BDP($B30,Q$9,"fill=b","PRICING_SOURCE",$C$6,$AC30,$N$9,$P30,$M$9,$M30)))*1),"",IF(OR(AD30="SINKABLE",AD30="CALL/SINK"),_xll.BDP($B30,$Q$10,"fill=b","PRICING_SOURCE",$C$6,$AC30,$N$9,$P30,$M$9,$M30),_xll.BDP($B30,Q$9,"fill=b","PRICING_SOURCE",$C$6,$AC30,$N$9,$P30,$M$9,$M30)))</f>
        <v/>
      </c>
      <c r="R30" s="237"/>
      <c r="S30" s="238" t="str">
        <f t="shared" si="8"/>
        <v/>
      </c>
      <c r="T30" s="239" cm="1">
        <f t="array" ref="T30">IF(ISERROR((_xlfn.SINGLE(IF(OR(AD30="SINKABLE",AD30="CALL/SINK"),_xll.BDP($B30,$Q$10,"fill=b","PRICING_SOURCE",$C$6,$AC30,$M$9,$U30,"px ask",$AE30),_xll.BDP($B30,Q$9,"fill=b","PRICING_SOURCE",$C$6,$AC30,$M$9,$U30,"px ask",$AE30))))*1),"",IF(OR(AD30="SINKABLE",AD30="CALL/SINK"),_xll.BDP($B30,$Q$10,"fill=b","PRICING_SOURCE",$C$6,$AC30,$M$9,$U30,"px ask",$AE30),_xll.BDP($B30,Q$9,"fill=b","PRICING_SOURCE",$C$6,$AC30,$M$9,$U30,"px ask",$AE30)))</f>
        <v>129.37011040914803</v>
      </c>
      <c r="U30" s="240" t="str">
        <f t="shared" si="0"/>
        <v>20120215</v>
      </c>
      <c r="V30" s="254" t="e" cm="1">
        <f t="array" ref="V30">IF(B30="","",IF(I30="BZDIOVRA Index",IF(OR(AD30="SINKABLE",AD30="CALL/SINK"),_xll.BDP($B30,"PX_ASK",$Q$10,J30,$M$9,M30),_xll.BDP($B30,"PX_"&amp;$H$7,$Q$9,J30,$M$9,M30)),_xll.BDP($B30,"PX_"&amp;$H$7,$Q$9,_xll.BDP(B30,"CPN"),$M$9,M30)))</f>
        <v>#VALUE!</v>
      </c>
      <c r="W30" s="254" t="str">
        <f t="shared" si="1"/>
        <v/>
      </c>
      <c r="X30" s="166" t="e">
        <f>IF(B30="","",IF(OR(AD30="SINKABLE",AD30="CALL/SINK"),_xll.BDP($B30,X$9,"fill=b","PRICING_SOURCE",$C$6,$AC30,$M$9,$M30,$N$9,$P30,$Q$10,$S30),_xll.BDP($B30,X$9,"fill=b","PRICING_SOURCE",$C$6,$AC30,$M$9,$M30,$N$9,$P30,$Q$9,$S30)))</f>
        <v>#VALUE!</v>
      </c>
      <c r="Y30" s="166" t="e">
        <f>IF(B30="","",IF(OR(AD30="SINKABLE",AD30="CALL/SINK"),_xll.BDP($B30,Y$9,"fill=b","PRICING_SOURCE",$C$6,$AC30,$M$9,$M30,$N$9,$P30,$Q$10,$S30),_xll.BDP($B30,Y$9,"fill=b","PRICING_SOURCE",$C$6,$AC30,$M$9,$M30,$N$9,$P30,$Q$9,$S30)))</f>
        <v>#VALUE!</v>
      </c>
      <c r="Z30" s="255" t="e">
        <f>IF(B30="","",IF(OR(AD30="SINKABLE",AD30="CALL/SINK"),_xll.BDP($B30,Z$9,"fill=b","PRICING_SOURCE",$C$6,$AC30,$M$9,$M30,$N$9,$P30,$Q$10,$S30),_xll.BDP($B30,Z$9,"fill=b","PRICING_SOURCE",$C$6,$AC30,$M$9,$M30,$N$9,$P30,$Q$9,$S30)))</f>
        <v>#VALUE!</v>
      </c>
      <c r="AA30" s="166" t="e">
        <f>IF(B30="","",IF(OR(AD30="SINKABLE",AD30="CALL/SINK"),_xll.BDP($B30,AA$9,"fill=b","PRICING_SOURCE",$C$6,$AC30,$M$9,$M30,$N$9,$P30,$Q$10,$S30),_xll.BDP($B30,AA$9,"fill=b","PRICING_SOURCE",$C$6,$AC30,$M$9,$M30,$N$9,$P30,$Q$9,$S30)))</f>
        <v>#VALUE!</v>
      </c>
      <c r="AB30" s="150" t="str" cm="1">
        <f t="array" ref="AB30">IF(B30="","",IF(LEFT(_xlfn.SINGLE(_xll.BDP($B30,AB$9,"fill=b")),1)="#","-",_xll.BDP($B30,AB$9,"fill=b")))</f>
        <v>2/15/2019</v>
      </c>
      <c r="AC30" s="150" t="str">
        <f t="shared" si="9"/>
        <v>YLD FLAG=28</v>
      </c>
      <c r="AD30" s="150" t="str" cm="1">
        <f t="array" ref="AD30">IF(B30="","",_xll.BDP($B30,AD$9,"fill=b"))</f>
        <v>SINKABLE</v>
      </c>
      <c r="AE30" s="256" cm="1">
        <f t="array" ref="AE30">IF(B30="","",IF(ISERROR(_xlfn.SINGLE(_xll.BDH(B30,"PX LAST",AN30,AN30,"DAYS=ALL","PRICING SOURCE",$C$6))*1),_xll.BDP(B30,"PAR AMT"),_xll.BDH(B30,"PX LAST",AN30,AN30,"DAYS=ALL","PRICING SOURCE",$C$6)))</f>
        <v>166500</v>
      </c>
      <c r="AF30" s="150" cm="1">
        <f t="array" ref="AF30">IF(B30="","",_xll.BDP($B30,AF$9,"fill=b"))</f>
        <v>6.0246000000000004</v>
      </c>
      <c r="AG30" s="150"/>
      <c r="AH30" s="190" t="e">
        <f>IF(B30="","",IF($AD30="AT MATURITY",$AB30*1,_xll.BADDPERIODS(_xll.BDP($B30,"issue dt"),"numberofperiods",TRUNC(_xll.BDP($B30,"YRS_TO_LONGEST_AVG_LIFE","YLD_YTM_BID",AF30,"SETTLE_DT",U30,AC30),0),"per=y")+(ROUND(MOD(_xll.BDP(B30,"YRS_TO_LONGEST_AVG_LIFE","YLD_YTM_BID",AF30,"SETTLE_DT",U30,AC30),1)*360,0))))</f>
        <v>#VALUE!</v>
      </c>
      <c r="AI30" s="150" t="e" cm="1">
        <f t="array" ref="AI30">IF(B30="","",AF30-_xll.BInterpol(_xll.BDP(_xll.BDS("YCGT0372 Index","curve members","CURVE_DATE", $U30,"endcol=1","array=true"),"maturity")*1,_xll.BDH(_xll.BDS("YCGT0372 Index","curve members","CURVE_DATE", $U30,"endcol=1","array=true"),"yld cnv mid",$U30,$U30,"days=all"),AH30,"CUBIC","Extrapolate=LINEAR","SKIP=TRUE","SORT=TRUE","MultiX=Average"))</f>
        <v>#VALUE!</v>
      </c>
      <c r="AJ30" s="189" t="str">
        <f t="shared" si="2"/>
        <v/>
      </c>
      <c r="AK30" s="257" t="str" cm="1">
        <f t="array" ref="AK30">IF(B30="","",_xll.BDP($B30,AK$9,"fill=b"))</f>
        <v>200MM</v>
      </c>
      <c r="AL30" s="257" t="str" cm="1">
        <f t="array" ref="AL30">IF(B30="","",_xll.BDP($B30,AL$9,"fill=b"))</f>
        <v>0</v>
      </c>
      <c r="AM30" s="256" cm="1">
        <f t="array" ref="AM30">IF(B30="","",_xll.BDP($B30,AM$9,"fill=b"))</f>
        <v>166500</v>
      </c>
      <c r="AN30" s="150" t="str" cm="1">
        <f t="array" ref="AN30">IF(B30="","",_xll.BDP($B30,AN$9,"fill=b"))</f>
        <v>2/15/2012</v>
      </c>
      <c r="AO30" s="150" t="str" cm="1">
        <f t="array" ref="AO30">IF(B30="","",IF(LEFT(_xlfn.SINGLE(_xll.BDP($B30,AO$9,"fill=b")),1)="#","-",_xll.BDP($B30,AO$9,"fill=b")))</f>
        <v>BBINVE,HSBC</v>
      </c>
      <c r="AP30" s="150" t="str" cm="1">
        <f t="array" ref="AP30">IF(B30="","",_xll.BDP($B30,AP$9,"fill=b"))</f>
        <v>Utilities</v>
      </c>
      <c r="AQ30" s="150" t="str" cm="1">
        <f t="array" ref="AQ30">IF(B30="","",_xll.BDP($B30,AQ$9,"fill=b"))</f>
        <v>Water</v>
      </c>
      <c r="AR30" s="150" t="str" cm="1">
        <f t="array" ref="AR30">IF(B30="","",_xll.BDP($B30,AR$9,"fill=b"))</f>
        <v/>
      </c>
      <c r="AS30" s="150" t="str" cm="1">
        <f t="array" ref="AS30">IF(B30="","",_xll.BDP($B30,AS$9,"fill=b"))</f>
        <v/>
      </c>
      <c r="AT30" s="150" t="str" cm="1">
        <f t="array" ref="AT30">IF(B30="","",_xll.BDP($B30,AT$9,"fill=b"))</f>
        <v/>
      </c>
      <c r="AU30" s="258" t="str" cm="1">
        <f t="array" ref="AU30">IF(B30="","",_xll.BDP($B30,AU$9,"fill=b"))</f>
        <v>CPN = BZCLVLUE INDEX + 602 BP   /   ISSUED UNDER 476</v>
      </c>
    </row>
    <row r="31" spans="2:47" ht="15" x14ac:dyDescent="0.25">
      <c r="B31" s="232" t="s">
        <v>324</v>
      </c>
      <c r="C31" s="150" t="str" cm="1">
        <f t="array" ref="C31">IF(B31="","",_xll.BDP($B31,C$9,"fill=b"))</f>
        <v>CMTR13</v>
      </c>
      <c r="D31" s="150" t="str" cm="1">
        <f t="array" ref="D31">IF(B31="","",_xll.BDP($B31,D$9,"fill=b"))</f>
        <v>CMIGBZ Float 02/15/17</v>
      </c>
      <c r="E31" s="150" t="str" cm="1">
        <f t="array" ref="E31">IF(B31="","",_xll.BDP($B31,E$9,"fill=b"))</f>
        <v>CEMIG GERACAO E TRANSM</v>
      </c>
      <c r="F31" s="150" t="str" cm="1">
        <f t="array" ref="F31">IF(B31="","",IF(LEFT(_xlfn.SINGLE(_xll.BDP($B31,F$9,"fill=b")),1)="#","-",_xll.BDP($B31,F$9,"fill=b")))</f>
        <v>CMIG4 BZ</v>
      </c>
      <c r="G31" s="150" t="str" cm="1">
        <f t="array" ref="G31">IF(B31="","",_xll.BDP($B31,G$9,"fill=b"))</f>
        <v>BRAZIL DI+SPREAD</v>
      </c>
      <c r="H31" s="150" t="str" cm="1">
        <f t="array" ref="H31">IF(B31="","",_xll.BDP($B31,H$9,"fill=b"))</f>
        <v>OVRA BZDI +90.000</v>
      </c>
      <c r="I31" s="150" t="str" cm="1">
        <f t="array" ref="I31">IF(LEFT(_xlfn.SINGLE(_xll.BDP(B31,"REFERENCE_INDEX")),1)="#",IF(LEFT(_xlfn.SINGLE(_xll.BDP(B31, "RESET_IDX"))&amp;" Index",1)="#","",_xlfn.SINGLE(_xll.BDP(B31, "RESET_IDX"))&amp;" Index"),_xll.BDP(B31,"REFERENCE_INDEX"))</f>
        <v>BZDIOVRA Index</v>
      </c>
      <c r="J31" s="150" cm="1">
        <f t="array" ref="J31">IF(I31="BZDIOVRA Index",IF(_xlfn.SINGLE(_xll.BDP(B31,"FLT_SPREAD"))/100=0,_xll.BDP(B31,"FLT_BENCH_MULTIPLIER"),_xlfn.SINGLE(_xll.BDP(B31,"FLT_SPREAD"))/100),"")</f>
        <v>0.9</v>
      </c>
      <c r="K31" s="150" t="str" cm="1">
        <f t="array" ref="K31">IF(B31="","",IF(LEFT(_xlfn.SINGLE(_xll.BDP($B31,K$9,"fill=b")),1)="#","-",_xll.BDP($B31,K$9,"fill=b")))</f>
        <v>-</v>
      </c>
      <c r="L31" s="233"/>
      <c r="M31" s="234" t="e">
        <f t="shared" si="3"/>
        <v>#VALUE!</v>
      </c>
      <c r="N31" s="252" t="e">
        <f>IF(B31="","",IF(R31="",IF(OR(AD31="SINKABLE",AD31="CALL/SINK"),_xll.BDP(B31,$N$9,$M$9,M31,"PRICING SOURCE",$C$6,"FILL=B"),_xll.BDP(B31,$N$9,$M$9,M31,"PRICING SOURCE",$C$6,"FILL=B")),IF(OR(AD31="SINKABLE",AD31="CALL/SINK"),_xll.BDP(B31,$N$9,$Q$10,S31,$M$9,M31,"PRICING SOURCE",$C$6,"FILL=B"),_xll.BDP(B31,$N$9,$Q$9,S31,$M$9,M31,"PRICING SOURCE",$C$6,"FILL=B"))))</f>
        <v>#VALUE!</v>
      </c>
      <c r="O31" s="235"/>
      <c r="P31" s="236" t="e">
        <f t="shared" si="7"/>
        <v>#VALUE!</v>
      </c>
      <c r="Q31" s="166" t="str">
        <f>IF(ISERROR((IF(OR(AD31="SINKABLE",AD31="CALL/SINK"),_xll.BDP($B31,$Q$10,"fill=b","PRICING_SOURCE",$C$6,$AC31,$N$9,$P31,$M$9,$M31),_xll.BDP($B31,Q$9,"fill=b","PRICING_SOURCE",$C$6,$AC31,$N$9,$P31,$M$9,$M31)))*1),"",IF(OR(AD31="SINKABLE",AD31="CALL/SINK"),_xll.BDP($B31,$Q$10,"fill=b","PRICING_SOURCE",$C$6,$AC31,$N$9,$P31,$M$9,$M31),_xll.BDP($B31,Q$9,"fill=b","PRICING_SOURCE",$C$6,$AC31,$N$9,$P31,$M$9,$M31)))</f>
        <v/>
      </c>
      <c r="R31" s="237"/>
      <c r="S31" s="238" t="str">
        <f t="shared" si="8"/>
        <v/>
      </c>
      <c r="T31" s="239" cm="1">
        <f t="array" ref="T31">IF(ISERROR((_xlfn.SINGLE(IF(OR(AD31="SINKABLE",AD31="CALL/SINK"),_xll.BDP($B31,$Q$10,"fill=b","PRICING_SOURCE",$C$6,$AC31,$M$9,$U31,"px ask",$AE31),_xll.BDP($B31,Q$9,"fill=b","PRICING_SOURCE",$C$6,$AC31,$M$9,$U31,"px ask",$AE31))))*1),"",IF(OR(AD31="SINKABLE",AD31="CALL/SINK"),_xll.BDP($B31,$Q$10,"fill=b","PRICING_SOURCE",$C$6,$AC31,$M$9,$U31,"px ask",$AE31),_xll.BDP($B31,Q$9,"fill=b","PRICING_SOURCE",$C$6,$AC31,$M$9,$U31,"px ask",$AE31)))</f>
        <v>0.94939761216829133</v>
      </c>
      <c r="U31" s="240" t="str">
        <f t="shared" si="0"/>
        <v>20120215</v>
      </c>
      <c r="V31" s="254" t="e" cm="1">
        <f t="array" ref="V31">IF(B31="","",IF(I31="BZDIOVRA Index",IF(OR(AD31="SINKABLE",AD31="CALL/SINK"),_xll.BDP($B31,"PX_ASK",$Q$10,J31,$M$9,M31),_xll.BDP($B31,"PX_"&amp;$H$7,$Q$9,J31,$M$9,M31)),_xll.BDP($B31,"PX_"&amp;$H$7,$Q$9,_xll.BDP(B31,"CPN"),$M$9,M31)))</f>
        <v>#VALUE!</v>
      </c>
      <c r="W31" s="254" t="str">
        <f t="shared" si="1"/>
        <v/>
      </c>
      <c r="X31" s="166" t="e">
        <f>IF(B31="","",IF(OR(AD31="SINKABLE",AD31="CALL/SINK"),_xll.BDP($B31,X$9,"fill=b","PRICING_SOURCE",$C$6,$AC31,$M$9,$M31,$N$9,$P31,$Q$10,$S31),_xll.BDP($B31,X$9,"fill=b","PRICING_SOURCE",$C$6,$AC31,$M$9,$M31,$N$9,$P31,$Q$9,$S31)))</f>
        <v>#VALUE!</v>
      </c>
      <c r="Y31" s="166" t="e">
        <f>IF(B31="","",IF(OR(AD31="SINKABLE",AD31="CALL/SINK"),_xll.BDP($B31,Y$9,"fill=b","PRICING_SOURCE",$C$6,$AC31,$M$9,$M31,$N$9,$P31,$Q$10,$S31),_xll.BDP($B31,Y$9,"fill=b","PRICING_SOURCE",$C$6,$AC31,$M$9,$M31,$N$9,$P31,$Q$9,$S31)))</f>
        <v>#VALUE!</v>
      </c>
      <c r="Z31" s="255" t="e">
        <f>IF(B31="","",IF(OR(AD31="SINKABLE",AD31="CALL/SINK"),_xll.BDP($B31,Z$9,"fill=b","PRICING_SOURCE",$C$6,$AC31,$M$9,$M31,$N$9,$P31,$Q$10,$S31),_xll.BDP($B31,Z$9,"fill=b","PRICING_SOURCE",$C$6,$AC31,$M$9,$M31,$N$9,$P31,$Q$9,$S31)))</f>
        <v>#VALUE!</v>
      </c>
      <c r="AA31" s="166" t="e">
        <f>IF(B31="","",IF(OR(AD31="SINKABLE",AD31="CALL/SINK"),_xll.BDP($B31,AA$9,"fill=b","PRICING_SOURCE",$C$6,$AC31,$M$9,$M31,$N$9,$P31,$Q$10,$S31),_xll.BDP($B31,AA$9,"fill=b","PRICING_SOURCE",$C$6,$AC31,$M$9,$M31,$N$9,$P31,$Q$9,$S31)))</f>
        <v>#VALUE!</v>
      </c>
      <c r="AB31" s="150" t="str" cm="1">
        <f t="array" ref="AB31">IF(B31="","",IF(LEFT(_xlfn.SINGLE(_xll.BDP($B31,AB$9,"fill=b")),1)="#","-",_xll.BDP($B31,AB$9,"fill=b")))</f>
        <v>2/15/2017</v>
      </c>
      <c r="AC31" s="150" t="str">
        <f t="shared" si="9"/>
        <v>YLD FLAG=1</v>
      </c>
      <c r="AD31" s="150" t="str" cm="1">
        <f t="array" ref="AD31">IF(B31="","",_xll.BDP($B31,AD$9,"fill=b"))</f>
        <v>AT MATURITY</v>
      </c>
      <c r="AE31" s="256" cm="1">
        <f t="array" ref="AE31">IF(B31="","",IF(ISERROR(_xlfn.SINGLE(_xll.BDH(B31,"PX LAST",AN31,AN31,"DAYS=ALL","PRICING SOURCE",$C$6))*1),_xll.BDP(B31,"PAR AMT"),_xll.BDH(B31,"PX LAST",AN31,AN31,"DAYS=ALL","PRICING SOURCE",$C$6)))</f>
        <v>1000</v>
      </c>
      <c r="AF31" s="150" cm="1">
        <f t="array" ref="AF31">IF(B31="","",_xll.BDP($B31,AF$9,"fill=b"))</f>
        <v>15.141613999999999</v>
      </c>
      <c r="AG31" s="150"/>
      <c r="AH31" s="190">
        <f>IF(B31="","",IF($AD31="AT MATURITY",$AB31*1,_xll.BADDPERIODS(_xll.BDP($B31,"issue dt"),"numberofperiods",TRUNC(_xll.BDP($B31,"YRS_TO_LONGEST_AVG_LIFE","YLD_YTM_BID",AF31,"SETTLE_DT",U31,AC31),0),"per=y")+(ROUND(MOD(_xll.BDP(B31,"YRS_TO_LONGEST_AVG_LIFE","YLD_YTM_BID",AF31,"SETTLE_DT",U31,AC31),1)*360,0))))</f>
        <v>42781</v>
      </c>
      <c r="AI31" s="150" t="e">
        <f t="array" ref="AI31">IF(B31="","",AF31-_xll.BInterpol(_xll.BDP(_xll.BDS("YCGT0372 Index","curve members","CURVE_DATE", $U31,"endcol=1","array=true"),"maturity")*1,_xll.BDH(_xll.BDS("YCGT0372 Index","curve members","CURVE_DATE", $U31,"endcol=1","array=true"),"yld cnv mid",$U31,$U31,"days=all"),AH31,"CUBIC","Extrapolate=LINEAR","SKIP=TRUE","SORT=TRUE","MultiX=Average"))</f>
        <v>#VALUE!</v>
      </c>
      <c r="AJ31" s="189">
        <f t="shared" si="2"/>
        <v>0.9</v>
      </c>
      <c r="AK31" s="257" t="str" cm="1">
        <f t="array" ref="AK31">IF(B31="","",_xll.BDP($B31,AK$9,"fill=b"))</f>
        <v>480MM</v>
      </c>
      <c r="AL31" s="257" t="str" cm="1">
        <f t="array" ref="AL31">IF(B31="","",_xll.BDP($B31,AL$9,"fill=b"))</f>
        <v>0</v>
      </c>
      <c r="AM31" s="256" cm="1">
        <f t="array" ref="AM31">IF(B31="","",_xll.BDP($B31,AM$9,"fill=b"))</f>
        <v>1000</v>
      </c>
      <c r="AN31" s="150" t="str" cm="1">
        <f t="array" ref="AN31">IF(B31="","",_xll.BDP($B31,AN$9,"fill=b"))</f>
        <v>2/15/2012</v>
      </c>
      <c r="AO31" s="150" t="str" cm="1">
        <f t="array" ref="AO31">IF(B31="","",IF(LEFT(_xlfn.SINGLE(_xll.BDP($B31,AO$9,"fill=b")),1)="#","-",_xll.BDP($B31,AO$9,"fill=b")))</f>
        <v>BTG,NORD,HSBC</v>
      </c>
      <c r="AP31" s="150" t="str" cm="1">
        <f t="array" ref="AP31">IF(B31="","",_xll.BDP($B31,AP$9,"fill=b"))</f>
        <v>Utilities</v>
      </c>
      <c r="AQ31" s="150" t="str" cm="1">
        <f t="array" ref="AQ31">IF(B31="","",_xll.BDP($B31,AQ$9,"fill=b"))</f>
        <v>Electric</v>
      </c>
      <c r="AR31" s="150" t="str" cm="1">
        <f t="array" ref="AR31">IF(B31="","",_xll.BDP($B31,AR$9,"fill=b"))</f>
        <v/>
      </c>
      <c r="AS31" s="150" t="str" cm="1">
        <f t="array" ref="AS31">IF(B31="","",_xll.BDP($B31,AS$9,"fill=b"))</f>
        <v>WR</v>
      </c>
      <c r="AT31" s="150" t="str" cm="1">
        <f t="array" ref="AT31">IF(B31="","",_xll.BDP($B31,AT$9,"fill=b"))</f>
        <v>NR</v>
      </c>
      <c r="AU31" s="258" t="str" cm="1">
        <f t="array" ref="AU31">IF(B31="","",_xll.BDP($B31,AU$9,"fill=b"))</f>
        <v>CPN = BZDIOVRA INDEX + 90 BP</v>
      </c>
    </row>
    <row r="32" spans="2:47" ht="15" x14ac:dyDescent="0.25">
      <c r="B32" s="232" t="s">
        <v>336</v>
      </c>
      <c r="C32" s="150" t="str" cm="1">
        <f t="array" ref="C32">IF(B32="","",_xll.BDP($B32,C$9,"fill=b"))</f>
        <v>CCPE12</v>
      </c>
      <c r="D32" s="150" t="str" cm="1">
        <f t="array" ref="D32">IF(B32="","",_xll.BDP($B32,D$9,"fill=b"))</f>
        <v>CYRBZ Float 02/15/17</v>
      </c>
      <c r="E32" s="150" t="str" cm="1">
        <f t="array" ref="E32">IF(B32="","",_xll.BDP($B32,E$9,"fill=b"))</f>
        <v>CYRELA COMMERCIAL PROPER</v>
      </c>
      <c r="F32" s="150" t="str" cm="1">
        <f t="array" ref="F32">IF(B32="","",IF(LEFT(_xlfn.SINGLE(_xll.BDP($B32,F$9,"fill=b")),1)="#","-",_xll.BDP($B32,F$9,"fill=b")))</f>
        <v>SYNE3 BZ</v>
      </c>
      <c r="G32" s="150" t="str" cm="1">
        <f t="array" ref="G32">IF(B32="","",_xll.BDP($B32,G$9,"fill=b"))</f>
        <v>BRAZIL DI+SPREAD</v>
      </c>
      <c r="H32" s="150" t="str" cm="1">
        <f t="array" ref="H32">IF(B32="","",_xll.BDP($B32,H$9,"fill=b"))</f>
        <v>OVRA BZDI +122.000</v>
      </c>
      <c r="I32" s="150" t="str" cm="1">
        <f t="array" ref="I32">IF(LEFT(_xlfn.SINGLE(_xll.BDP(B32,"REFERENCE_INDEX")),1)="#",IF(LEFT(_xlfn.SINGLE(_xll.BDP(B32, "RESET_IDX"))&amp;" Index",1)="#","",_xlfn.SINGLE(_xll.BDP(B32, "RESET_IDX"))&amp;" Index"),_xll.BDP(B32,"REFERENCE_INDEX"))</f>
        <v>BZDIOVRA Index</v>
      </c>
      <c r="J32" s="150" cm="1">
        <f t="array" ref="J32">IF(I32="BZDIOVRA Index",IF(_xlfn.SINGLE(_xll.BDP(B32,"FLT_SPREAD"))/100=0,_xll.BDP(B32,"FLT_BENCH_MULTIPLIER"),_xlfn.SINGLE(_xll.BDP(B32,"FLT_SPREAD"))/100),"")</f>
        <v>1.22</v>
      </c>
      <c r="K32" s="150" t="str" cm="1">
        <f t="array" ref="K32">IF(B32="","",IF(LEFT(_xlfn.SINGLE(_xll.BDP($B32,K$9,"fill=b")),1)="#","-",_xll.BDP($B32,K$9,"fill=b")))</f>
        <v>-</v>
      </c>
      <c r="L32" s="233"/>
      <c r="M32" s="234" t="e">
        <f t="shared" si="3"/>
        <v>#VALUE!</v>
      </c>
      <c r="N32" s="252" t="e">
        <f>IF(B32="","",IF(R32="",IF(OR(AD32="SINKABLE",AD32="CALL/SINK"),_xll.BDP(B32,$N$9,$M$9,M32,"PRICING SOURCE",$C$6,"FILL=B"),_xll.BDP(B32,$N$9,$M$9,M32,"PRICING SOURCE",$C$6,"FILL=B")),IF(OR(AD32="SINKABLE",AD32="CALL/SINK"),_xll.BDP(B32,$N$9,$Q$10,S32,$M$9,M32,"PRICING SOURCE",$C$6,"FILL=B"),_xll.BDP(B32,$N$9,$Q$9,S32,$M$9,M32,"PRICING SOURCE",$C$6,"FILL=B"))))</f>
        <v>#VALUE!</v>
      </c>
      <c r="O32" s="235"/>
      <c r="P32" s="236" t="e">
        <f t="shared" ref="P32:P43" si="10">IF(O32="",N32,O32)</f>
        <v>#VALUE!</v>
      </c>
      <c r="Q32" s="166" t="str">
        <f>IF(ISERROR((IF(OR(AD32="SINKABLE",AD32="CALL/SINK"),_xll.BDP($B32,$Q$10,"fill=b","PRICING_SOURCE",$C$6,$AC32,$N$9,$P32,$M$9,$M32),_xll.BDP($B32,Q$9,"fill=b","PRICING_SOURCE",$C$6,$AC32,$N$9,$P32,$M$9,$M32)))*1),"",IF(OR(AD32="SINKABLE",AD32="CALL/SINK"),_xll.BDP($B32,$Q$10,"fill=b","PRICING_SOURCE",$C$6,$AC32,$N$9,$P32,$M$9,$M32),_xll.BDP($B32,Q$9,"fill=b","PRICING_SOURCE",$C$6,$AC32,$N$9,$P32,$M$9,$M32)))</f>
        <v/>
      </c>
      <c r="R32" s="237"/>
      <c r="S32" s="238" t="str">
        <f t="shared" ref="S32:S43" si="11">IF(R32="",Q32,R32)</f>
        <v/>
      </c>
      <c r="T32" s="239" cm="1">
        <f t="array" ref="T32">IF(ISERROR((_xlfn.SINGLE(IF(OR(AD32="SINKABLE",AD32="CALL/SINK"),_xll.BDP($B32,$Q$10,"fill=b","PRICING_SOURCE",$C$6,$AC32,$M$9,$U32,"px ask",$AE32),_xll.BDP($B32,Q$9,"fill=b","PRICING_SOURCE",$C$6,$AC32,$M$9,$U32,"px ask",$AE32))))*1),"",IF(OR(AD32="SINKABLE",AD32="CALL/SINK"),_xll.BDP($B32,$Q$10,"fill=b","PRICING_SOURCE",$C$6,$AC32,$M$9,$U32,"px ask",$AE32),_xll.BDP($B32,Q$9,"fill=b","PRICING_SOURCE",$C$6,$AC32,$M$9,$U32,"px ask",$AE32)))</f>
        <v>23.818399346498921</v>
      </c>
      <c r="U32" s="240" t="str">
        <f t="shared" si="0"/>
        <v>20120215</v>
      </c>
      <c r="V32" s="254" t="e" cm="1">
        <f t="array" ref="V32">IF(B32="","",IF(I32="BZDIOVRA Index",IF(OR(AD32="SINKABLE",AD32="CALL/SINK"),_xll.BDP($B32,"PX_ASK",$Q$10,J32,$M$9,M32),_xll.BDP($B32,"PX_"&amp;$H$7,$Q$9,J32,$M$9,M32)),_xll.BDP($B32,"PX_"&amp;$H$7,$Q$9,_xll.BDP(B32,"CPN"),$M$9,M32)))</f>
        <v>#VALUE!</v>
      </c>
      <c r="W32" s="254" t="str">
        <f t="shared" si="1"/>
        <v/>
      </c>
      <c r="X32" s="166" t="e">
        <f>IF(B32="","",IF(OR(AD32="SINKABLE",AD32="CALL/SINK"),_xll.BDP($B32,X$9,"fill=b","PRICING_SOURCE",$C$6,$AC32,$M$9,$M32,$N$9,$P32,$Q$10,$S32),_xll.BDP($B32,X$9,"fill=b","PRICING_SOURCE",$C$6,$AC32,$M$9,$M32,$N$9,$P32,$Q$9,$S32)))</f>
        <v>#VALUE!</v>
      </c>
      <c r="Y32" s="166" t="e">
        <f>IF(B32="","",IF(OR(AD32="SINKABLE",AD32="CALL/SINK"),_xll.BDP($B32,Y$9,"fill=b","PRICING_SOURCE",$C$6,$AC32,$M$9,$M32,$N$9,$P32,$Q$10,$S32),_xll.BDP($B32,Y$9,"fill=b","PRICING_SOURCE",$C$6,$AC32,$M$9,$M32,$N$9,$P32,$Q$9,$S32)))</f>
        <v>#VALUE!</v>
      </c>
      <c r="Z32" s="255" t="e">
        <f>IF(B32="","",IF(OR(AD32="SINKABLE",AD32="CALL/SINK"),_xll.BDP($B32,Z$9,"fill=b","PRICING_SOURCE",$C$6,$AC32,$M$9,$M32,$N$9,$P32,$Q$10,$S32),_xll.BDP($B32,Z$9,"fill=b","PRICING_SOURCE",$C$6,$AC32,$M$9,$M32,$N$9,$P32,$Q$9,$S32)))</f>
        <v>#VALUE!</v>
      </c>
      <c r="AA32" s="166" t="e">
        <f>IF(B32="","",IF(OR(AD32="SINKABLE",AD32="CALL/SINK"),_xll.BDP($B32,AA$9,"fill=b","PRICING_SOURCE",$C$6,$AC32,$M$9,$M32,$N$9,$P32,$Q$10,$S32),_xll.BDP($B32,AA$9,"fill=b","PRICING_SOURCE",$C$6,$AC32,$M$9,$M32,$N$9,$P32,$Q$9,$S32)))</f>
        <v>#VALUE!</v>
      </c>
      <c r="AB32" s="150" t="str" cm="1">
        <f t="array" ref="AB32">IF(B32="","",IF(LEFT(_xlfn.SINGLE(_xll.BDP($B32,AB$9,"fill=b")),1)="#","-",_xll.BDP($B32,AB$9,"fill=b")))</f>
        <v>2/15/2017</v>
      </c>
      <c r="AC32" s="150" t="str">
        <f t="shared" ref="AC32:AC43" si="12">IF(OR(AD32="SINKABLE",AD32="CALL/SINK"),"YLD FLAG=28",IF(OR(AD32="AT MATURITY",AD32="CALLABLE"),"YLD FLAG=1","YLD FLAG=2"))</f>
        <v>YLD FLAG=28</v>
      </c>
      <c r="AD32" s="150" t="str" cm="1">
        <f t="array" ref="AD32">IF(B32="","",_xll.BDP($B32,AD$9,"fill=b"))</f>
        <v>SINKABLE</v>
      </c>
      <c r="AE32" s="256" cm="1">
        <f t="array" ref="AE32">IF(B32="","",IF(ISERROR(_xlfn.SINGLE(_xll.BDH(B32,"PX LAST",AN32,AN32,"DAYS=ALL","PRICING SOURCE",$C$6))*1),_xll.BDP(B32,"PAR AMT"),_xll.BDH(B32,"PX LAST",AN32,AN32,"DAYS=ALL","PRICING SOURCE",$C$6)))</f>
        <v>5000</v>
      </c>
      <c r="AF32" s="150" cm="1">
        <f t="array" ref="AF32">IF(B32="","",_xll.BDP($B32,AF$9,"fill=b"))</f>
        <v>7.4093382999999999</v>
      </c>
      <c r="AG32" s="150"/>
      <c r="AH32" s="190">
        <f>IF(B32="","",IF($AD32="AT MATURITY",$AB32*1,_xll.BADDPERIODS(_xll.BDP($B32,"issue dt"),"numberofperiods",TRUNC(_xll.BDP($B32,"YRS_TO_LONGEST_AVG_LIFE","YLD_YTM_BID",AF32,"SETTLE_DT",U32,AC32),0),"per=y")+(ROUND(MOD(_xll.BDP(B32,"YRS_TO_LONGEST_AVG_LIFE","YLD_YTM_BID",AF32,"SETTLE_DT",U32,AC32),1)*360,0))))</f>
        <v>42596</v>
      </c>
      <c r="AI32" s="150" t="e">
        <f t="array" ref="AI32">IF(B32="","",AF32-_xll.BInterpol(_xll.BDP(_xll.BDS("YCGT0372 Index","curve members","CURVE_DATE", $U32,"endcol=1","array=true"),"maturity")*1,_xll.BDH(_xll.BDS("YCGT0372 Index","curve members","CURVE_DATE", $U32,"endcol=1","array=true"),"yld cnv mid",$U32,$U32,"days=all"),AH32,"CUBIC","Extrapolate=LINEAR","SKIP=TRUE","SORT=TRUE","MultiX=Average"))</f>
        <v>#VALUE!</v>
      </c>
      <c r="AJ32" s="189">
        <f t="shared" si="2"/>
        <v>1.22</v>
      </c>
      <c r="AK32" s="257" t="str" cm="1">
        <f t="array" ref="AK32">IF(B32="","",_xll.BDP($B32,AK$9,"fill=b"))</f>
        <v>204.42MM</v>
      </c>
      <c r="AL32" s="257" t="str" cm="1">
        <f t="array" ref="AL32">IF(B32="","",_xll.BDP($B32,AL$9,"fill=b"))</f>
        <v>0</v>
      </c>
      <c r="AM32" s="256" cm="1">
        <f t="array" ref="AM32">IF(B32="","",_xll.BDP($B32,AM$9,"fill=b"))</f>
        <v>5000</v>
      </c>
      <c r="AN32" s="150" t="str" cm="1">
        <f t="array" ref="AN32">IF(B32="","",_xll.BDP($B32,AN$9,"fill=b"))</f>
        <v>2/15/2012</v>
      </c>
      <c r="AO32" s="150" t="str" cm="1">
        <f t="array" ref="AO32">IF(B32="","",IF(LEFT(_xlfn.SINGLE(_xll.BDP($B32,AO$9,"fill=b")),1)="#","-",_xll.BDP($B32,AO$9,"fill=b")))</f>
        <v>BTG</v>
      </c>
      <c r="AP32" s="150" t="str" cm="1">
        <f t="array" ref="AP32">IF(B32="","",_xll.BDP($B32,AP$9,"fill=b"))</f>
        <v>Financial</v>
      </c>
      <c r="AQ32" s="150" t="str" cm="1">
        <f t="array" ref="AQ32">IF(B32="","",_xll.BDP($B32,AQ$9,"fill=b"))</f>
        <v>Real Estate</v>
      </c>
      <c r="AR32" s="150" t="str" cm="1">
        <f t="array" ref="AR32">IF(B32="","",_xll.BDP($B32,AR$9,"fill=b"))</f>
        <v/>
      </c>
      <c r="AS32" s="150" t="str" cm="1">
        <f t="array" ref="AS32">IF(B32="","",_xll.BDP($B32,AS$9,"fill=b"))</f>
        <v/>
      </c>
      <c r="AT32" s="150" t="str" cm="1">
        <f t="array" ref="AT32">IF(B32="","",_xll.BDP($B32,AT$9,"fill=b"))</f>
        <v>NR</v>
      </c>
      <c r="AU32" s="258" t="str" cm="1">
        <f t="array" ref="AU32">IF(B32="","",_xll.BDP($B32,AU$9,"fill=b"))</f>
        <v>CPN = BZDIOVRA INDEX + 122BP   /   ISSUED UNDER 476</v>
      </c>
    </row>
    <row r="33" spans="2:47" ht="15" x14ac:dyDescent="0.25">
      <c r="B33" s="232" t="s">
        <v>341</v>
      </c>
      <c r="C33" s="150" t="str" cm="1">
        <f t="array" ref="C33">IF(B33="","",_xll.BDP($B33,C$9,"fill=b"))</f>
        <v>VOES14</v>
      </c>
      <c r="D33" s="150" t="str" cm="1">
        <f t="array" ref="D33">IF(B33="","",_xll.BDP($B33,D$9,"fill=b"))</f>
        <v>CCROBZ Float 05/28/17</v>
      </c>
      <c r="E33" s="150" t="str" cm="1">
        <f t="array" ref="E33">IF(B33="","",_xll.BDP($B33,E$9,"fill=b"))</f>
        <v>VIAOESTE SA</v>
      </c>
      <c r="F33" s="150" t="str" cm="1">
        <f t="array" ref="F33">IF(B33="","",IF(LEFT(_xlfn.SINGLE(_xll.BDP($B33,F$9,"fill=b")),1)="#","-",_xll.BDP($B33,F$9,"fill=b")))</f>
        <v>MOTV3 BZ</v>
      </c>
      <c r="G33" s="150" t="str" cm="1">
        <f t="array" ref="G33">IF(B33="","",_xll.BDP($B33,G$9,"fill=b"))</f>
        <v>BRAZIL PERCENT DI</v>
      </c>
      <c r="H33" s="150" t="str" cm="1">
        <f t="array" ref="H33">IF(B33="","",_xll.BDP($B33,H$9,"fill=b"))</f>
        <v>OVRA BZDI *108.30000</v>
      </c>
      <c r="I33" s="150" t="str" cm="1">
        <f t="array" ref="I33">IF(LEFT(_xlfn.SINGLE(_xll.BDP(B33,"REFERENCE_INDEX")),1)="#",IF(LEFT(_xlfn.SINGLE(_xll.BDP(B33, "RESET_IDX"))&amp;" Index",1)="#","",_xlfn.SINGLE(_xll.BDP(B33, "RESET_IDX"))&amp;" Index"),_xll.BDP(B33,"REFERENCE_INDEX"))</f>
        <v>BZDIOVRA Index</v>
      </c>
      <c r="J33" s="150" cm="1">
        <f t="array" ref="J33">IF(I33="BZDIOVRA Index",IF(_xlfn.SINGLE(_xll.BDP(B33,"FLT_SPREAD"))/100=0,_xll.BDP(B33,"FLT_BENCH_MULTIPLIER"),_xlfn.SINGLE(_xll.BDP(B33,"FLT_SPREAD"))/100),"")</f>
        <v>108.30000305175781</v>
      </c>
      <c r="K33" s="150" t="str" cm="1">
        <f t="array" ref="K33">IF(B33="","",IF(LEFT(_xlfn.SINGLE(_xll.BDP($B33,K$9,"fill=b")),1)="#","-",_xll.BDP($B33,K$9,"fill=b")))</f>
        <v>-</v>
      </c>
      <c r="L33" s="233"/>
      <c r="M33" s="234" t="e">
        <f t="shared" si="3"/>
        <v>#VALUE!</v>
      </c>
      <c r="N33" s="252" t="e">
        <f>IF(B33="","",IF(R33="",IF(OR(AD33="SINKABLE",AD33="CALL/SINK"),_xll.BDP(B33,$N$9,$M$9,M33,"PRICING SOURCE",$C$6,"FILL=B"),_xll.BDP(B33,$N$9,$M$9,M33,"PRICING SOURCE",$C$6,"FILL=B")),IF(OR(AD33="SINKABLE",AD33="CALL/SINK"),_xll.BDP(B33,$N$9,$Q$10,S33,$M$9,M33,"PRICING SOURCE",$C$6,"FILL=B"),_xll.BDP(B33,$N$9,$Q$9,S33,$M$9,M33,"PRICING SOURCE",$C$6,"FILL=B"))))</f>
        <v>#VALUE!</v>
      </c>
      <c r="O33" s="235"/>
      <c r="P33" s="236" t="e">
        <f t="shared" si="10"/>
        <v>#VALUE!</v>
      </c>
      <c r="Q33" s="166" t="str">
        <f>IF(ISERROR((IF(OR(AD33="SINKABLE",AD33="CALL/SINK"),_xll.BDP($B33,$Q$10,"fill=b","PRICING_SOURCE",$C$6,$AC33,$N$9,$P33,$M$9,$M33),_xll.BDP($B33,Q$9,"fill=b","PRICING_SOURCE",$C$6,$AC33,$N$9,$P33,$M$9,$M33)))*1),"",IF(OR(AD33="SINKABLE",AD33="CALL/SINK"),_xll.BDP($B33,$Q$10,"fill=b","PRICING_SOURCE",$C$6,$AC33,$N$9,$P33,$M$9,$M33),_xll.BDP($B33,Q$9,"fill=b","PRICING_SOURCE",$C$6,$AC33,$N$9,$P33,$M$9,$M33)))</f>
        <v/>
      </c>
      <c r="R33" s="237"/>
      <c r="S33" s="238" t="str">
        <f t="shared" si="11"/>
        <v/>
      </c>
      <c r="T33" s="239" t="str" cm="1">
        <f t="array" ref="T33">IF(ISERROR((_xlfn.SINGLE(IF(OR(AD33="SINKABLE",AD33="CALL/SINK"),_xll.BDP($B33,$Q$10,"fill=b","PRICING_SOURCE",$C$6,$AC33,$M$9,$U33,"px ask",$AE33),_xll.BDP($B33,Q$9,"fill=b","PRICING_SOURCE",$C$6,$AC33,$M$9,$U33,"px ask",$AE33))))*1),"",IF(OR(AD33="SINKABLE",AD33="CALL/SINK"),_xll.BDP($B33,$Q$10,"fill=b","PRICING_SOURCE",$C$6,$AC33,$M$9,$U33,"px ask",$AE33),_xll.BDP($B33,Q$9,"fill=b","PRICING_SOURCE",$C$6,$AC33,$M$9,$U33,"px ask",$AE33)))</f>
        <v/>
      </c>
      <c r="U33" s="240" t="str">
        <f t="shared" si="0"/>
        <v>20120428</v>
      </c>
      <c r="V33" s="254" t="e" cm="1">
        <f t="array" ref="V33">IF(B33="","",IF(I33="BZDIOVRA Index",IF(OR(AD33="SINKABLE",AD33="CALL/SINK"),_xll.BDP($B33,"PX_ASK",$Q$10,J33,$M$9,M33),_xll.BDP($B33,"PX_"&amp;$H$7,$Q$9,J33,$M$9,M33)),_xll.BDP($B33,"PX_"&amp;$H$7,$Q$9,_xll.BDP(B33,"CPN"),$M$9,M33)))</f>
        <v>#VALUE!</v>
      </c>
      <c r="W33" s="254" t="str">
        <f t="shared" si="1"/>
        <v/>
      </c>
      <c r="X33" s="166" t="e">
        <f>IF(B33="","",IF(OR(AD33="SINKABLE",AD33="CALL/SINK"),_xll.BDP($B33,X$9,"fill=b","PRICING_SOURCE",$C$6,$AC33,$M$9,$M33,$N$9,$P33,$Q$10,$S33),_xll.BDP($B33,X$9,"fill=b","PRICING_SOURCE",$C$6,$AC33,$M$9,$M33,$N$9,$P33,$Q$9,$S33)))</f>
        <v>#VALUE!</v>
      </c>
      <c r="Y33" s="166" t="e">
        <f>IF(B33="","",IF(OR(AD33="SINKABLE",AD33="CALL/SINK"),_xll.BDP($B33,Y$9,"fill=b","PRICING_SOURCE",$C$6,$AC33,$M$9,$M33,$N$9,$P33,$Q$10,$S33),_xll.BDP($B33,Y$9,"fill=b","PRICING_SOURCE",$C$6,$AC33,$M$9,$M33,$N$9,$P33,$Q$9,$S33)))</f>
        <v>#VALUE!</v>
      </c>
      <c r="Z33" s="255" t="e">
        <f>IF(B33="","",IF(OR(AD33="SINKABLE",AD33="CALL/SINK"),_xll.BDP($B33,Z$9,"fill=b","PRICING_SOURCE",$C$6,$AC33,$M$9,$M33,$N$9,$P33,$Q$10,$S33),_xll.BDP($B33,Z$9,"fill=b","PRICING_SOURCE",$C$6,$AC33,$M$9,$M33,$N$9,$P33,$Q$9,$S33)))</f>
        <v>#VALUE!</v>
      </c>
      <c r="AA33" s="166" t="e">
        <f>IF(B33="","",IF(OR(AD33="SINKABLE",AD33="CALL/SINK"),_xll.BDP($B33,AA$9,"fill=b","PRICING_SOURCE",$C$6,$AC33,$M$9,$M33,$N$9,$P33,$Q$10,$S33),_xll.BDP($B33,AA$9,"fill=b","PRICING_SOURCE",$C$6,$AC33,$M$9,$M33,$N$9,$P33,$Q$9,$S33)))</f>
        <v>#VALUE!</v>
      </c>
      <c r="AB33" s="150" t="str" cm="1">
        <f t="array" ref="AB33">IF(B33="","",IF(LEFT(_xlfn.SINGLE(_xll.BDP($B33,AB$9,"fill=b")),1)="#","-",_xll.BDP($B33,AB$9,"fill=b")))</f>
        <v>5/28/2017</v>
      </c>
      <c r="AC33" s="150" t="str">
        <f t="shared" si="12"/>
        <v>YLD FLAG=28</v>
      </c>
      <c r="AD33" s="150" t="str" cm="1">
        <f t="array" ref="AD33">IF(B33="","",_xll.BDP($B33,AD$9,"fill=b"))</f>
        <v>CALL/SINK</v>
      </c>
      <c r="AE33" s="256" cm="1">
        <f t="array" ref="AE33">IF(B33="","",IF(ISERROR(_xlfn.SINGLE(_xll.BDH(B33,"PX LAST",AN33,AN33,"DAYS=ALL","PRICING SOURCE",$C$6))*1),_xll.BDP(B33,"PAR AMT"),_xll.BDH(B33,"PX LAST",AN33,AN33,"DAYS=ALL","PRICING SOURCE",$C$6)))</f>
        <v>588.16</v>
      </c>
      <c r="AF33" s="150" cm="1">
        <f t="array" ref="AF33">IF(B33="","",_xll.BDP($B33,AF$9,"fill=b"))</f>
        <v>2.88118998232</v>
      </c>
      <c r="AG33" s="150"/>
      <c r="AH33" s="190">
        <f>IF(B33="","",IF($AD33="AT MATURITY",$AB33*1,_xll.BADDPERIODS(_xll.BDP($B33,"issue dt"),"numberofperiods",TRUNC(_xll.BDP($B33,"YRS_TO_LONGEST_AVG_LIFE","YLD_YTM_BID",AF33,"SETTLE_DT",U33,AC33),0),"per=y")+(ROUND(MOD(_xll.BDP(B33,"YRS_TO_LONGEST_AVG_LIFE","YLD_YTM_BID",AF33,"SETTLE_DT",U33,AC33),1)*360,0))))</f>
        <v>42153</v>
      </c>
      <c r="AI33" s="150" t="e" cm="1">
        <f t="array" ref="AI33">IF(B33="","",AF33-_xll.BInterpol(_xll.BDP(_xll.BDS("YCGT0372 Index","curve members","CURVE_DATE", $U33,"endcol=1","array=true"),"maturity")*1,_xll.BDH(_xll.BDS("YCGT0372 Index","curve members","CURVE_DATE", $U33,"endcol=1","array=true"),"yld cnv mid",$U33,$U33,"days=all"),AH33,"CUBIC","Extrapolate=LINEAR","SKIP=TRUE","SORT=TRUE","MultiX=Average"))</f>
        <v>#VALUE!</v>
      </c>
      <c r="AJ33" s="189">
        <f t="shared" si="2"/>
        <v>108.30000305175781</v>
      </c>
      <c r="AK33" s="257" t="str" cm="1">
        <f t="array" ref="AK33">IF(B33="","",_xll.BDP($B33,AK$9,"fill=b"))</f>
        <v>750MM</v>
      </c>
      <c r="AL33" s="257" t="str" cm="1">
        <f t="array" ref="AL33">IF(B33="","",_xll.BDP($B33,AL$9,"fill=b"))</f>
        <v>0</v>
      </c>
      <c r="AM33" s="256" cm="1">
        <f t="array" ref="AM33">IF(B33="","",_xll.BDP($B33,AM$9,"fill=b"))</f>
        <v>588.16</v>
      </c>
      <c r="AN33" s="150" t="str" cm="1">
        <f t="array" ref="AN33">IF(B33="","",_xll.BDP($B33,AN$9,"fill=b"))</f>
        <v>4/28/2012</v>
      </c>
      <c r="AO33" s="150" t="str" cm="1">
        <f t="array" ref="AO33">IF(B33="","",IF(LEFT(_xlfn.SINGLE(_xll.BDP($B33,AO$9,"fill=b")),1)="#","-",_xll.BDP($B33,AO$9,"fill=b")))</f>
        <v>JOINT LEADS</v>
      </c>
      <c r="AP33" s="150" t="str" cm="1">
        <f t="array" ref="AP33">IF(B33="","",_xll.BDP($B33,AP$9,"fill=b"))</f>
        <v>Industrial</v>
      </c>
      <c r="AQ33" s="150" t="str" cm="1">
        <f t="array" ref="AQ33">IF(B33="","",_xll.BDP($B33,AQ$9,"fill=b"))</f>
        <v>Engineering&amp;Construction</v>
      </c>
      <c r="AR33" s="150" t="str" cm="1">
        <f t="array" ref="AR33">IF(B33="","",_xll.BDP($B33,AR$9,"fill=b"))</f>
        <v/>
      </c>
      <c r="AS33" s="150" t="str" cm="1">
        <f t="array" ref="AS33">IF(B33="","",_xll.BDP($B33,AS$9,"fill=b"))</f>
        <v>WR</v>
      </c>
      <c r="AT33" s="150" t="str" cm="1">
        <f t="array" ref="AT33">IF(B33="","",_xll.BDP($B33,AT$9,"fill=b"))</f>
        <v/>
      </c>
      <c r="AU33" s="258" t="str" cm="1">
        <f t="array" ref="AU33">IF(B33="","",_xll.BDP($B33,AU$9,"fill=b"))</f>
        <v>CPN = BZDIOVRA INDEX * 108.30%.</v>
      </c>
    </row>
    <row r="34" spans="2:47" ht="15" x14ac:dyDescent="0.25">
      <c r="B34" s="232" t="s">
        <v>283</v>
      </c>
      <c r="C34" s="150" t="str" cm="1">
        <f t="array" ref="C34">IF(B34="","",_xll.BDP($B34,C$9,"fill=b"))</f>
        <v>CMTR23</v>
      </c>
      <c r="D34" s="150" t="str" cm="1">
        <f t="array" ref="D34">IF(B34="","",_xll.BDP($B34,D$9,"fill=b"))</f>
        <v>CMIGBZ 6 02/15/19</v>
      </c>
      <c r="E34" s="150" t="str" cm="1">
        <f t="array" ref="E34">IF(B34="","",_xll.BDP($B34,E$9,"fill=b"))</f>
        <v>CEMIG GERACAO E TRANSM</v>
      </c>
      <c r="F34" s="150" t="str" cm="1">
        <f t="array" ref="F34">IF(B34="","",IF(LEFT(_xlfn.SINGLE(_xll.BDP($B34,F$9,"fill=b")),1)="#","-",_xll.BDP($B34,F$9,"fill=b")))</f>
        <v>CMIG4 BZ</v>
      </c>
      <c r="G34" s="150" t="str" cm="1">
        <f t="array" ref="G34">IF(B34="","",_xll.BDP($B34,G$9,"fill=b"))</f>
        <v>BRAZIL IPCA+SPREAD</v>
      </c>
      <c r="H34" s="150" t="str" cm="1">
        <f t="array" ref="H34">IF(B34="","",_xll.BDP($B34,H$9,"fill=b"))</f>
        <v/>
      </c>
      <c r="I34" s="150" t="str" cm="1">
        <f t="array" ref="I34">IF(LEFT(_xlfn.SINGLE(_xll.BDP(B34,"REFERENCE_INDEX")),1)="#",IF(LEFT(_xlfn.SINGLE(_xll.BDP(B34, "RESET_IDX"))&amp;" Index",1)="#","",_xlfn.SINGLE(_xll.BDP(B34, "RESET_IDX"))&amp;" Index"),_xll.BDP(B34,"REFERENCE_INDEX"))</f>
        <v>BZCLVLUE Index</v>
      </c>
      <c r="J34" s="150" t="str">
        <f>IF(I34="BZDIOVRA Index",IF(_xll.BDP(B34,"FLT_SPREAD")/100=0,_xll.BDP(B34,"FLT_BENCH_MULTIPLIER"),_xll.BDP(B34,"FLT_SPREAD")/100),"")</f>
        <v/>
      </c>
      <c r="K34" s="150" t="str" cm="1">
        <f t="array" ref="K34">IF(B34="","",IF(LEFT(_xlfn.SINGLE(_xll.BDP($B34,K$9,"fill=b")),1)="#","-",_xll.BDP($B34,K$9,"fill=b")))</f>
        <v>-</v>
      </c>
      <c r="L34" s="233"/>
      <c r="M34" s="234" t="e">
        <f t="shared" si="3"/>
        <v>#VALUE!</v>
      </c>
      <c r="N34" s="252" t="e">
        <f>IF(B34="","",IF(R34="",IF(OR(AD34="SINKABLE",AD34="CALL/SINK"),_xll.BDP(B34,$N$9,$M$9,M34,"PRICING SOURCE",$C$6,"FILL=B"),_xll.BDP(B34,$N$9,$M$9,M34,"PRICING SOURCE",$C$6,"FILL=B")),IF(OR(AD34="SINKABLE",AD34="CALL/SINK"),_xll.BDP(B34,$N$9,$Q$10,S34,$M$9,M34,"PRICING SOURCE",$C$6,"FILL=B"),_xll.BDP(B34,$N$9,$Q$9,S34,$M$9,M34,"PRICING SOURCE",$C$6,"FILL=B"))))</f>
        <v>#VALUE!</v>
      </c>
      <c r="O34" s="235"/>
      <c r="P34" s="236" t="e">
        <f t="shared" si="10"/>
        <v>#VALUE!</v>
      </c>
      <c r="Q34" s="166" t="str">
        <f>IF(ISERROR((IF(OR(AD34="SINKABLE",AD34="CALL/SINK"),_xll.BDP($B34,$Q$10,"fill=b","PRICING_SOURCE",$C$6,$AC34,$N$9,$P34,$M$9,$M34),_xll.BDP($B34,Q$9,"fill=b","PRICING_SOURCE",$C$6,$AC34,$N$9,$P34,$M$9,$M34)))*1),"",IF(OR(AD34="SINKABLE",AD34="CALL/SINK"),_xll.BDP($B34,$Q$10,"fill=b","PRICING_SOURCE",$C$6,$AC34,$N$9,$P34,$M$9,$M34),_xll.BDP($B34,Q$9,"fill=b","PRICING_SOURCE",$C$6,$AC34,$N$9,$P34,$M$9,$M34)))</f>
        <v/>
      </c>
      <c r="R34" s="237"/>
      <c r="S34" s="238" t="str">
        <f t="shared" si="11"/>
        <v/>
      </c>
      <c r="T34" s="239" cm="1">
        <f t="array" ref="T34">IF(ISERROR((_xlfn.SINGLE(IF(OR(AD34="SINKABLE",AD34="CALL/SINK"),_xll.BDP($B34,$Q$10,"fill=b","PRICING_SOURCE",$C$6,$AC34,$M$9,$U34,"px ask",$AE34),_xll.BDP($B34,Q$9,"fill=b","PRICING_SOURCE",$C$6,$AC34,$M$9,$U34,"px ask",$AE34))))*1),"",IF(OR(AD34="SINKABLE",AD34="CALL/SINK"),_xll.BDP($B34,$Q$10,"fill=b","PRICING_SOURCE",$C$6,$AC34,$M$9,$U34,"px ask",$AE34),_xll.BDP($B34,Q$9,"fill=b","PRICING_SOURCE",$C$6,$AC34,$M$9,$U34,"px ask",$AE34)))</f>
        <v>78.029657693485817</v>
      </c>
      <c r="U34" s="240" t="str">
        <f t="shared" si="0"/>
        <v>20120215</v>
      </c>
      <c r="V34" s="254" t="e" cm="1">
        <f t="array" ref="V34">IF(B34="","",IF(I34="BZDIOVRA Index",IF(OR(AD34="SINKABLE",AD34="CALL/SINK"),_xll.BDP($B34,"PX_ASK",$Q$10,J34,$M$9,M34),_xll.BDP($B34,"PX_"&amp;$H$7,$Q$9,J34,$M$9,M34)),_xll.BDP($B34,"PX_"&amp;$H$7,$Q$9,_xll.BDP(B34,"CPN"),$M$9,M34)))</f>
        <v>#VALUE!</v>
      </c>
      <c r="W34" s="254" t="str">
        <f t="shared" si="1"/>
        <v/>
      </c>
      <c r="X34" s="166" t="e">
        <f>IF(B34="","",IF(OR(AD34="SINKABLE",AD34="CALL/SINK"),_xll.BDP($B34,X$9,"fill=b","PRICING_SOURCE",$C$6,$AC34,$M$9,$M34,$N$9,$P34,$Q$10,$S34),_xll.BDP($B34,X$9,"fill=b","PRICING_SOURCE",$C$6,$AC34,$M$9,$M34,$N$9,$P34,$Q$9,$S34)))</f>
        <v>#VALUE!</v>
      </c>
      <c r="Y34" s="166" t="e">
        <f>IF(B34="","",IF(OR(AD34="SINKABLE",AD34="CALL/SINK"),_xll.BDP($B34,Y$9,"fill=b","PRICING_SOURCE",$C$6,$AC34,$M$9,$M34,$N$9,$P34,$Q$10,$S34),_xll.BDP($B34,Y$9,"fill=b","PRICING_SOURCE",$C$6,$AC34,$M$9,$M34,$N$9,$P34,$Q$9,$S34)))</f>
        <v>#VALUE!</v>
      </c>
      <c r="Z34" s="255" t="e">
        <f>IF(B34="","",IF(OR(AD34="SINKABLE",AD34="CALL/SINK"),_xll.BDP($B34,Z$9,"fill=b","PRICING_SOURCE",$C$6,$AC34,$M$9,$M34,$N$9,$P34,$Q$10,$S34),_xll.BDP($B34,Z$9,"fill=b","PRICING_SOURCE",$C$6,$AC34,$M$9,$M34,$N$9,$P34,$Q$9,$S34)))</f>
        <v>#VALUE!</v>
      </c>
      <c r="AA34" s="166" t="e">
        <f>IF(B34="","",IF(OR(AD34="SINKABLE",AD34="CALL/SINK"),_xll.BDP($B34,AA$9,"fill=b","PRICING_SOURCE",$C$6,$AC34,$M$9,$M34,$N$9,$P34,$Q$10,$S34),_xll.BDP($B34,AA$9,"fill=b","PRICING_SOURCE",$C$6,$AC34,$M$9,$M34,$N$9,$P34,$Q$9,$S34)))</f>
        <v>#VALUE!</v>
      </c>
      <c r="AB34" s="150" t="str" cm="1">
        <f t="array" ref="AB34">IF(B34="","",IF(LEFT(_xlfn.SINGLE(_xll.BDP($B34,AB$9,"fill=b")),1)="#","-",_xll.BDP($B34,AB$9,"fill=b")))</f>
        <v>2/15/2019</v>
      </c>
      <c r="AC34" s="150" t="str">
        <f t="shared" si="12"/>
        <v>YLD FLAG=28</v>
      </c>
      <c r="AD34" s="150" t="str" cm="1">
        <f t="array" ref="AD34">IF(B34="","",_xll.BDP($B34,AD$9,"fill=b"))</f>
        <v>SINKABLE</v>
      </c>
      <c r="AE34" s="256" cm="1">
        <f t="array" ref="AE34">IF(B34="","",IF(ISERROR(_xlfn.SINGLE(_xll.BDH(B34,"PX LAST",AN34,AN34,"DAYS=ALL","PRICING SOURCE",$C$6))*1),_xll.BDP(B34,"PAR AMT"),_xll.BDH(B34,"PX LAST",AN34,AN34,"DAYS=ALL","PRICING SOURCE",$C$6)))</f>
        <v>500</v>
      </c>
      <c r="AF34" s="150" cm="1">
        <f t="array" ref="AF34">IF(B34="","",_xll.BDP($B34,AF$9,"fill=b"))</f>
        <v>6</v>
      </c>
      <c r="AG34" s="150"/>
      <c r="AH34" s="190">
        <f>IF(B34="","",IF($AD34="AT MATURITY",$AB34*1,_xll.BADDPERIODS(_xll.BDP($B34,"issue dt"),"numberofperiods",TRUNC(_xll.BDP($B34,"YRS_TO_LONGEST_AVG_LIFE","YLD_YTM_BID",AF34,"SETTLE_DT",U34,AC34),0),"per=y")+(ROUND(MOD(_xll.BDP(B34,"YRS_TO_LONGEST_AVG_LIFE","YLD_YTM_BID",AF34,"SETTLE_DT",U34,AC34),1)*360,0))))</f>
        <v>64716</v>
      </c>
      <c r="AI34" s="150" t="e">
        <f t="array" ref="AI34">IF(B34="","",AF34-_xll.BInterpol(_xll.BDP(_xll.BDS("YCGT0372 Index","curve members","CURVE_DATE", $U34,"endcol=1","array=true"),"maturity")*1,_xll.BDH(_xll.BDS("YCGT0372 Index","curve members","CURVE_DATE", $U34,"endcol=1","array=true"),"yld cnv mid",$U34,$U34,"days=all"),AH34,"CUBIC","Extrapolate=LINEAR","SKIP=TRUE","SORT=TRUE","MultiX=Average"))</f>
        <v>#VALUE!</v>
      </c>
      <c r="AJ34" s="189" t="str">
        <f t="shared" si="2"/>
        <v/>
      </c>
      <c r="AK34" s="257" t="str" cm="1">
        <f t="array" ref="AK34">IF(B34="","",_xll.BDP($B34,AK$9,"fill=b"))</f>
        <v>200MM</v>
      </c>
      <c r="AL34" s="257" t="str" cm="1">
        <f t="array" ref="AL34">IF(B34="","",_xll.BDP($B34,AL$9,"fill=b"))</f>
        <v>0</v>
      </c>
      <c r="AM34" s="256" cm="1">
        <f t="array" ref="AM34">IF(B34="","",_xll.BDP($B34,AM$9,"fill=b"))</f>
        <v>500</v>
      </c>
      <c r="AN34" s="150" t="str" cm="1">
        <f t="array" ref="AN34">IF(B34="","",_xll.BDP($B34,AN$9,"fill=b"))</f>
        <v>2/15/2012</v>
      </c>
      <c r="AO34" s="150" t="str" cm="1">
        <f t="array" ref="AO34">IF(B34="","",IF(LEFT(_xlfn.SINGLE(_xll.BDP($B34,AO$9,"fill=b")),1)="#","-",_xll.BDP($B34,AO$9,"fill=b")))</f>
        <v>BTG,NORD,HSBC</v>
      </c>
      <c r="AP34" s="150" t="str" cm="1">
        <f t="array" ref="AP34">IF(B34="","",_xll.BDP($B34,AP$9,"fill=b"))</f>
        <v>Utilities</v>
      </c>
      <c r="AQ34" s="150" t="str" cm="1">
        <f t="array" ref="AQ34">IF(B34="","",_xll.BDP($B34,AQ$9,"fill=b"))</f>
        <v>Electric</v>
      </c>
      <c r="AR34" s="150" t="str" cm="1">
        <f t="array" ref="AR34">IF(B34="","",_xll.BDP($B34,AR$9,"fill=b"))</f>
        <v/>
      </c>
      <c r="AS34" s="150" t="str" cm="1">
        <f t="array" ref="AS34">IF(B34="","",_xll.BDP($B34,AS$9,"fill=b"))</f>
        <v>WR</v>
      </c>
      <c r="AT34" s="150" t="str" cm="1">
        <f t="array" ref="AT34">IF(B34="","",_xll.BDP($B34,AT$9,"fill=b"))</f>
        <v>NR</v>
      </c>
      <c r="AU34" s="258" t="str" cm="1">
        <f t="array" ref="AU34">IF(B34="","",_xll.BDP($B34,AU$9,"fill=b"))</f>
        <v>CPN = BZCLVLUE INDEX + 600 BP. NOVO MERCADO.</v>
      </c>
    </row>
    <row r="35" spans="2:47" ht="15" x14ac:dyDescent="0.25">
      <c r="B35" s="232" t="s">
        <v>269</v>
      </c>
      <c r="C35" s="150" t="str" cm="1">
        <f t="array" ref="C35">IF(B35="","",_xll.BDP($B35,C$9,"fill=b"))</f>
        <v>CMTR33</v>
      </c>
      <c r="D35" s="150" t="str" cm="1">
        <f t="array" ref="D35">IF(B35="","",_xll.BDP($B35,D$9,"fill=b"))</f>
        <v>CMIGBZ 6.2 02/15/22</v>
      </c>
      <c r="E35" s="150" t="str" cm="1">
        <f t="array" ref="E35">IF(B35="","",_xll.BDP($B35,E$9,"fill=b"))</f>
        <v>CEMIG GERACAO E TRANSM</v>
      </c>
      <c r="F35" s="150" t="str" cm="1">
        <f t="array" ref="F35">IF(B35="","",IF(LEFT(_xlfn.SINGLE(_xll.BDP($B35,F$9,"fill=b")),1)="#","-",_xll.BDP($B35,F$9,"fill=b")))</f>
        <v>CMIG4 BZ</v>
      </c>
      <c r="G35" s="150" t="str" cm="1">
        <f t="array" ref="G35">IF(B35="","",_xll.BDP($B35,G$9,"fill=b"))</f>
        <v>BRAZIL IPCA+SPREAD</v>
      </c>
      <c r="H35" s="150" t="str" cm="1">
        <f t="array" ref="H35">IF(B35="","",_xll.BDP($B35,H$9,"fill=b"))</f>
        <v/>
      </c>
      <c r="I35" s="150" t="str" cm="1">
        <f t="array" ref="I35">IF(LEFT(_xlfn.SINGLE(_xll.BDP(B35,"REFERENCE_INDEX")),1)="#",IF(LEFT(_xlfn.SINGLE(_xll.BDP(B35, "RESET_IDX"))&amp;" Index",1)="#","",_xlfn.SINGLE(_xll.BDP(B35, "RESET_IDX"))&amp;" Index"),_xll.BDP(B35,"REFERENCE_INDEX"))</f>
        <v>BZCLVLUE Index</v>
      </c>
      <c r="J35" s="150" t="str">
        <f>IF(I35="BZDIOVRA Index",IF(_xll.BDP(B35,"FLT_SPREAD")/100=0,_xll.BDP(B35,"FLT_BENCH_MULTIPLIER"),_xll.BDP(B35,"FLT_SPREAD")/100),"")</f>
        <v/>
      </c>
      <c r="K35" s="150" t="str" cm="1">
        <f t="array" ref="K35">IF(B35="","",IF(LEFT(_xlfn.SINGLE(_xll.BDP($B35,K$9,"fill=b")),1)="#","-",_xll.BDP($B35,K$9,"fill=b")))</f>
        <v>-</v>
      </c>
      <c r="L35" s="233"/>
      <c r="M35" s="234" t="e">
        <f t="shared" si="3"/>
        <v>#VALUE!</v>
      </c>
      <c r="N35" s="252" t="e">
        <f>IF(B35="","",IF(R35="",IF(OR(AD35="SINKABLE",AD35="CALL/SINK"),_xll.BDP(B35,$N$9,$M$9,M35,"PRICING SOURCE",$C$6,"FILL=B"),_xll.BDP(B35,$N$9,$M$9,M35,"PRICING SOURCE",$C$6,"FILL=B")),IF(OR(AD35="SINKABLE",AD35="CALL/SINK"),_xll.BDP(B35,$N$9,$Q$10,S35,$M$9,M35,"PRICING SOURCE",$C$6,"FILL=B"),_xll.BDP(B35,$N$9,$Q$9,S35,$M$9,M35,"PRICING SOURCE",$C$6,"FILL=B"))))</f>
        <v>#VALUE!</v>
      </c>
      <c r="O35" s="235"/>
      <c r="P35" s="236" t="e">
        <f t="shared" si="10"/>
        <v>#VALUE!</v>
      </c>
      <c r="Q35" s="166" t="str">
        <f>IF(ISERROR((IF(OR(AD35="SINKABLE",AD35="CALL/SINK"),_xll.BDP($B35,$Q$10,"fill=b","PRICING_SOURCE",$C$6,$AC35,$N$9,$P35,$M$9,$M35),_xll.BDP($B35,Q$9,"fill=b","PRICING_SOURCE",$C$6,$AC35,$N$9,$P35,$M$9,$M35)))*1),"",IF(OR(AD35="SINKABLE",AD35="CALL/SINK"),_xll.BDP($B35,$Q$10,"fill=b","PRICING_SOURCE",$C$6,$AC35,$N$9,$P35,$M$9,$M35),_xll.BDP($B35,Q$9,"fill=b","PRICING_SOURCE",$C$6,$AC35,$N$9,$P35,$M$9,$M35)))</f>
        <v/>
      </c>
      <c r="R35" s="237"/>
      <c r="S35" s="238" t="str">
        <f t="shared" si="11"/>
        <v/>
      </c>
      <c r="T35" s="239" cm="1">
        <f t="array" ref="T35">IF(ISERROR((_xlfn.SINGLE(IF(OR(AD35="SINKABLE",AD35="CALL/SINK"),_xll.BDP($B35,$Q$10,"fill=b","PRICING_SOURCE",$C$6,$AC35,$M$9,$U35,"px ask",$AE35),_xll.BDP($B35,Q$9,"fill=b","PRICING_SOURCE",$C$6,$AC35,$M$9,$U35,"px ask",$AE35))))*1),"",IF(OR(AD35="SINKABLE",AD35="CALL/SINK"),_xll.BDP($B35,$Q$10,"fill=b","PRICING_SOURCE",$C$6,$AC35,$M$9,$U35,"px ask",$AE35),_xll.BDP($B35,Q$9,"fill=b","PRICING_SOURCE",$C$6,$AC35,$M$9,$U35,"px ask",$AE35)))</f>
        <v>68.381275083593877</v>
      </c>
      <c r="U35" s="240" t="str">
        <f t="shared" si="0"/>
        <v>20120215</v>
      </c>
      <c r="V35" s="254" t="e" cm="1">
        <f t="array" ref="V35">IF(B35="","",IF(I35="BZDIOVRA Index",IF(OR(AD35="SINKABLE",AD35="CALL/SINK"),_xll.BDP($B35,"PX_ASK",$Q$10,J35,$M$9,M35),_xll.BDP($B35,"PX_"&amp;$H$7,$Q$9,J35,$M$9,M35)),_xll.BDP($B35,"PX_"&amp;$H$7,$Q$9,_xll.BDP(B35,"CPN"),$M$9,M35)))</f>
        <v>#VALUE!</v>
      </c>
      <c r="W35" s="254" t="str">
        <f t="shared" si="1"/>
        <v/>
      </c>
      <c r="X35" s="166" t="e">
        <f>IF(B35="","",IF(OR(AD35="SINKABLE",AD35="CALL/SINK"),_xll.BDP($B35,X$9,"fill=b","PRICING_SOURCE",$C$6,$AC35,$M$9,$M35,$N$9,$P35,$Q$10,$S35),_xll.BDP($B35,X$9,"fill=b","PRICING_SOURCE",$C$6,$AC35,$M$9,$M35,$N$9,$P35,$Q$9,$S35)))</f>
        <v>#VALUE!</v>
      </c>
      <c r="Y35" s="166" t="e">
        <f>IF(B35="","",IF(OR(AD35="SINKABLE",AD35="CALL/SINK"),_xll.BDP($B35,Y$9,"fill=b","PRICING_SOURCE",$C$6,$AC35,$M$9,$M35,$N$9,$P35,$Q$10,$S35),_xll.BDP($B35,Y$9,"fill=b","PRICING_SOURCE",$C$6,$AC35,$M$9,$M35,$N$9,$P35,$Q$9,$S35)))</f>
        <v>#VALUE!</v>
      </c>
      <c r="Z35" s="255" t="e">
        <f>IF(B35="","",IF(OR(AD35="SINKABLE",AD35="CALL/SINK"),_xll.BDP($B35,Z$9,"fill=b","PRICING_SOURCE",$C$6,$AC35,$M$9,$M35,$N$9,$P35,$Q$10,$S35),_xll.BDP($B35,Z$9,"fill=b","PRICING_SOURCE",$C$6,$AC35,$M$9,$M35,$N$9,$P35,$Q$9,$S35)))</f>
        <v>#VALUE!</v>
      </c>
      <c r="AA35" s="166" t="e">
        <f>IF(B35="","",IF(OR(AD35="SINKABLE",AD35="CALL/SINK"),_xll.BDP($B35,AA$9,"fill=b","PRICING_SOURCE",$C$6,$AC35,$M$9,$M35,$N$9,$P35,$Q$10,$S35),_xll.BDP($B35,AA$9,"fill=b","PRICING_SOURCE",$C$6,$AC35,$M$9,$M35,$N$9,$P35,$Q$9,$S35)))</f>
        <v>#VALUE!</v>
      </c>
      <c r="AB35" s="150" t="str" cm="1">
        <f t="array" ref="AB35">IF(B35="","",IF(LEFT(_xlfn.SINGLE(_xll.BDP($B35,AB$9,"fill=b")),1)="#","-",_xll.BDP($B35,AB$9,"fill=b")))</f>
        <v>2/15/2022</v>
      </c>
      <c r="AC35" s="150" t="str">
        <f t="shared" si="12"/>
        <v>YLD FLAG=28</v>
      </c>
      <c r="AD35" s="150" t="str" cm="1">
        <f t="array" ref="AD35">IF(B35="","",_xll.BDP($B35,AD$9,"fill=b"))</f>
        <v>SINKABLE</v>
      </c>
      <c r="AE35" s="256" cm="1">
        <f t="array" ref="AE35">IF(B35="","",IF(ISERROR(_xlfn.SINGLE(_xll.BDH(B35,"PX LAST",AN35,AN35,"DAYS=ALL","PRICING SOURCE",$C$6))*1),_xll.BDP(B35,"PAR AMT"),_xll.BDH(B35,"PX LAST",AN35,AN35,"DAYS=ALL","PRICING SOURCE",$C$6)))</f>
        <v>340</v>
      </c>
      <c r="AF35" s="150" cm="1">
        <f t="array" ref="AF35">IF(B35="","",_xll.BDP($B35,AF$9,"fill=b"))</f>
        <v>6.2</v>
      </c>
      <c r="AG35" s="150"/>
      <c r="AH35" s="190">
        <f>IF(B35="","",IF($AD35="AT MATURITY",$AB35*1,_xll.BADDPERIODS(_xll.BDP($B35,"issue dt"),"numberofperiods",TRUNC(_xll.BDP($B35,"YRS_TO_LONGEST_AVG_LIFE","YLD_YTM_BID",AF35,"SETTLE_DT",U35,AC35),0),"per=y")+(ROUND(MOD(_xll.BDP(B35,"YRS_TO_LONGEST_AVG_LIFE","YLD_YTM_BID",AF35,"SETTLE_DT",U35,AC35),1)*360,0))))</f>
        <v>73901</v>
      </c>
      <c r="AI35" s="150" t="e" cm="1">
        <f t="array" ref="AI35">IF(B35="","",AF35-_xll.BInterpol(_xll.BDP(_xll.BDS("YCGT0372 Index","curve members","CURVE_DATE", $U35,"endcol=1","array=true"),"maturity")*1,_xll.BDH(_xll.BDS("YCGT0372 Index","curve members","CURVE_DATE", $U35,"endcol=1","array=true"),"yld cnv mid",$U35,$U35,"days=all"),AH35,"CUBIC","Extrapolate=LINEAR","SKIP=TRUE","SORT=TRUE","MultiX=Average"))</f>
        <v>#VALUE!</v>
      </c>
      <c r="AJ35" s="189" t="str">
        <f t="shared" si="2"/>
        <v/>
      </c>
      <c r="AK35" s="257" t="str" cm="1">
        <f t="array" ref="AK35">IF(B35="","",_xll.BDP($B35,AK$9,"fill=b"))</f>
        <v>670MM</v>
      </c>
      <c r="AL35" s="257" t="str" cm="1">
        <f t="array" ref="AL35">IF(B35="","",_xll.BDP($B35,AL$9,"fill=b"))</f>
        <v>0</v>
      </c>
      <c r="AM35" s="256" cm="1">
        <f t="array" ref="AM35">IF(B35="","",_xll.BDP($B35,AM$9,"fill=b"))</f>
        <v>340</v>
      </c>
      <c r="AN35" s="150" t="str" cm="1">
        <f t="array" ref="AN35">IF(B35="","",_xll.BDP($B35,AN$9,"fill=b"))</f>
        <v>2/15/2012</v>
      </c>
      <c r="AO35" s="150" t="str" cm="1">
        <f t="array" ref="AO35">IF(B35="","",IF(LEFT(_xlfn.SINGLE(_xll.BDP($B35,AO$9,"fill=b")),1)="#","-",_xll.BDP($B35,AO$9,"fill=b")))</f>
        <v>BTG,NORD,HSBC</v>
      </c>
      <c r="AP35" s="150" t="str" cm="1">
        <f t="array" ref="AP35">IF(B35="","",_xll.BDP($B35,AP$9,"fill=b"))</f>
        <v>Utilities</v>
      </c>
      <c r="AQ35" s="150" t="str" cm="1">
        <f t="array" ref="AQ35">IF(B35="","",_xll.BDP($B35,AQ$9,"fill=b"))</f>
        <v>Electric</v>
      </c>
      <c r="AR35" s="150" t="str" cm="1">
        <f t="array" ref="AR35">IF(B35="","",_xll.BDP($B35,AR$9,"fill=b"))</f>
        <v/>
      </c>
      <c r="AS35" s="150" t="str" cm="1">
        <f t="array" ref="AS35">IF(B35="","",_xll.BDP($B35,AS$9,"fill=b"))</f>
        <v>WR</v>
      </c>
      <c r="AT35" s="150" t="str" cm="1">
        <f t="array" ref="AT35">IF(B35="","",_xll.BDP($B35,AT$9,"fill=b"))</f>
        <v>NR</v>
      </c>
      <c r="AU35" s="258" t="str" cm="1">
        <f t="array" ref="AU35">IF(B35="","",_xll.BDP($B35,AU$9,"fill=b"))</f>
        <v>CPN = BZCLVLUE INDEX + 620 BP. NOVO MERCADO.</v>
      </c>
    </row>
    <row r="36" spans="2:47" ht="15" x14ac:dyDescent="0.25">
      <c r="B36" s="232" t="s">
        <v>299</v>
      </c>
      <c r="C36" s="150" t="str" cm="1">
        <f t="array" ref="C36">IF(B36="","",_xll.BDP($B36,C$9,"fill=b"))</f>
        <v>PDGP17</v>
      </c>
      <c r="D36" s="150" t="str" cm="1">
        <f t="array" ref="D36">IF(B36="","",_xll.BDP($B36,D$9,"fill=b"))</f>
        <v>PDGRBZ 6.56 03/15/18</v>
      </c>
      <c r="E36" s="150" t="str" cm="1">
        <f t="array" ref="E36">IF(B36="","",_xll.BDP($B36,E$9,"fill=b"))</f>
        <v>PDG REALTY SA EMPREEND</v>
      </c>
      <c r="F36" s="150" t="str" cm="1">
        <f t="array" ref="F36">IF(B36="","",IF(LEFT(_xlfn.SINGLE(_xll.BDP($B36,F$9,"fill=b")),1)="#","-",_xll.BDP($B36,F$9,"fill=b")))</f>
        <v>PDGR3 BZ</v>
      </c>
      <c r="G36" s="150" t="str" cm="1">
        <f t="array" ref="G36">IF(B36="","",_xll.BDP($B36,G$9,"fill=b"))</f>
        <v>BRAZIL IPCA+SPREAD</v>
      </c>
      <c r="H36" s="150" t="str" cm="1">
        <f t="array" ref="H36">IF(B36="","",_xll.BDP($B36,H$9,"fill=b"))</f>
        <v/>
      </c>
      <c r="I36" s="150" t="str" cm="1">
        <f t="array" ref="I36">IF(LEFT(_xlfn.SINGLE(_xll.BDP(B36,"REFERENCE_INDEX")),1)="#",IF(LEFT(_xlfn.SINGLE(_xll.BDP(B36, "RESET_IDX"))&amp;" Index",1)="#","",_xlfn.SINGLE(_xll.BDP(B36, "RESET_IDX"))&amp;" Index"),_xll.BDP(B36,"REFERENCE_INDEX"))</f>
        <v>BZCLVLUE Index</v>
      </c>
      <c r="J36" s="150" t="str">
        <f>IF(I36="BZDIOVRA Index",IF(_xll.BDP(B36,"FLT_SPREAD")/100=0,_xll.BDP(B36,"FLT_BENCH_MULTIPLIER"),_xll.BDP(B36,"FLT_SPREAD")/100),"")</f>
        <v/>
      </c>
      <c r="K36" s="150" t="str" cm="1">
        <f t="array" ref="K36">IF(B36="","",IF(LEFT(_xlfn.SINGLE(_xll.BDP($B36,K$9,"fill=b")),1)="#","-",_xll.BDP($B36,K$9,"fill=b")))</f>
        <v>-</v>
      </c>
      <c r="L36" s="233"/>
      <c r="M36" s="234" t="e">
        <f t="shared" si="3"/>
        <v>#VALUE!</v>
      </c>
      <c r="N36" s="252" t="e">
        <f>IF(B36="","",IF(R36="",IF(OR(AD36="SINKABLE",AD36="CALL/SINK"),_xll.BDP(B36,$N$9,$M$9,M36,"PRICING SOURCE",$C$6,"FILL=B"),_xll.BDP(B36,$N$9,$M$9,M36,"PRICING SOURCE",$C$6,"FILL=B")),IF(OR(AD36="SINKABLE",AD36="CALL/SINK"),_xll.BDP(B36,$N$9,$Q$10,S36,$M$9,M36,"PRICING SOURCE",$C$6,"FILL=B"),_xll.BDP(B36,$N$9,$Q$9,S36,$M$9,M36,"PRICING SOURCE",$C$6,"FILL=B"))))</f>
        <v>#VALUE!</v>
      </c>
      <c r="O36" s="235"/>
      <c r="P36" s="236" t="e">
        <f t="shared" si="10"/>
        <v>#VALUE!</v>
      </c>
      <c r="Q36" s="166" t="str">
        <f>IF(ISERROR((IF(OR(AD36="SINKABLE",AD36="CALL/SINK"),_xll.BDP($B36,$Q$10,"fill=b","PRICING_SOURCE",$C$6,$AC36,$N$9,$P36,$M$9,$M36),_xll.BDP($B36,Q$9,"fill=b","PRICING_SOURCE",$C$6,$AC36,$N$9,$P36,$M$9,$M36)))*1),"",IF(OR(AD36="SINKABLE",AD36="CALL/SINK"),_xll.BDP($B36,$Q$10,"fill=b","PRICING_SOURCE",$C$6,$AC36,$N$9,$P36,$M$9,$M36),_xll.BDP($B36,Q$9,"fill=b","PRICING_SOURCE",$C$6,$AC36,$N$9,$P36,$M$9,$M36)))</f>
        <v/>
      </c>
      <c r="R36" s="237"/>
      <c r="S36" s="238" t="str">
        <f t="shared" si="11"/>
        <v/>
      </c>
      <c r="T36" s="239" cm="1">
        <f t="array" ref="T36">IF(ISERROR((_xlfn.SINGLE(IF(OR(AD36="SINKABLE",AD36="CALL/SINK"),_xll.BDP($B36,$Q$10,"fill=b","PRICING_SOURCE",$C$6,$AC36,$M$9,$U36,"px ask",$AE36),_xll.BDP($B36,Q$9,"fill=b","PRICING_SOURCE",$C$6,$AC36,$M$9,$U36,"px ask",$AE36))))*1),"",IF(OR(AD36="SINKABLE",AD36="CALL/SINK"),_xll.BDP($B36,$Q$10,"fill=b","PRICING_SOURCE",$C$6,$AC36,$M$9,$U36,"px ask",$AE36),_xll.BDP($B36,Q$9,"fill=b","PRICING_SOURCE",$C$6,$AC36,$M$9,$U36,"px ask",$AE36)))</f>
        <v>91.172954970671341</v>
      </c>
      <c r="U36" s="240" t="str">
        <f t="shared" si="0"/>
        <v>20120315</v>
      </c>
      <c r="V36" s="254" t="e" cm="1">
        <f t="array" ref="V36">IF(B36="","",IF(I36="BZDIOVRA Index",IF(OR(AD36="SINKABLE",AD36="CALL/SINK"),_xll.BDP($B36,"PX_ASK",$Q$10,J36,$M$9,M36),_xll.BDP($B36,"PX_"&amp;$H$7,$Q$9,J36,$M$9,M36)),_xll.BDP($B36,"PX_"&amp;$H$7,$Q$9,_xll.BDP(B36,"CPN"),$M$9,M36)))</f>
        <v>#VALUE!</v>
      </c>
      <c r="W36" s="254" t="str">
        <f t="shared" si="1"/>
        <v/>
      </c>
      <c r="X36" s="166" t="e">
        <f>IF(B36="","",IF(OR(AD36="SINKABLE",AD36="CALL/SINK"),_xll.BDP($B36,X$9,"fill=b","PRICING_SOURCE",$C$6,$AC36,$M$9,$M36,$N$9,$P36,$Q$10,$S36),_xll.BDP($B36,X$9,"fill=b","PRICING_SOURCE",$C$6,$AC36,$M$9,$M36,$N$9,$P36,$Q$9,$S36)))</f>
        <v>#VALUE!</v>
      </c>
      <c r="Y36" s="166" t="e">
        <f>IF(B36="","",IF(OR(AD36="SINKABLE",AD36="CALL/SINK"),_xll.BDP($B36,Y$9,"fill=b","PRICING_SOURCE",$C$6,$AC36,$M$9,$M36,$N$9,$P36,$Q$10,$S36),_xll.BDP($B36,Y$9,"fill=b","PRICING_SOURCE",$C$6,$AC36,$M$9,$M36,$N$9,$P36,$Q$9,$S36)))</f>
        <v>#VALUE!</v>
      </c>
      <c r="Z36" s="255" t="e">
        <f>IF(B36="","",IF(OR(AD36="SINKABLE",AD36="CALL/SINK"),_xll.BDP($B36,Z$9,"fill=b","PRICING_SOURCE",$C$6,$AC36,$M$9,$M36,$N$9,$P36,$Q$10,$S36),_xll.BDP($B36,Z$9,"fill=b","PRICING_SOURCE",$C$6,$AC36,$M$9,$M36,$N$9,$P36,$Q$9,$S36)))</f>
        <v>#VALUE!</v>
      </c>
      <c r="AA36" s="166" t="e">
        <f>IF(B36="","",IF(OR(AD36="SINKABLE",AD36="CALL/SINK"),_xll.BDP($B36,AA$9,"fill=b","PRICING_SOURCE",$C$6,$AC36,$M$9,$M36,$N$9,$P36,$Q$10,$S36),_xll.BDP($B36,AA$9,"fill=b","PRICING_SOURCE",$C$6,$AC36,$M$9,$M36,$N$9,$P36,$Q$9,$S36)))</f>
        <v>#VALUE!</v>
      </c>
      <c r="AB36" s="150" t="str" cm="1">
        <f t="array" ref="AB36">IF(B36="","",IF(LEFT(_xlfn.SINGLE(_xll.BDP($B36,AB$9,"fill=b")),1)="#","-",_xll.BDP($B36,AB$9,"fill=b")))</f>
        <v>3/15/2018</v>
      </c>
      <c r="AC36" s="150" t="str">
        <f t="shared" si="12"/>
        <v>YLD FLAG=28</v>
      </c>
      <c r="AD36" s="150" t="str" cm="1">
        <f t="array" ref="AD36">IF(B36="","",_xll.BDP($B36,AD$9,"fill=b"))</f>
        <v>SINKABLE</v>
      </c>
      <c r="AE36" s="256" cm="1">
        <f t="array" ref="AE36">IF(B36="","",IF(ISERROR(_xlfn.SINGLE(_xll.BDH(B36,"PX LAST",AN36,AN36,"DAYS=ALL","PRICING SOURCE",$C$6))*1),_xll.BDP(B36,"PAR AMT"),_xll.BDH(B36,"PX LAST",AN36,AN36,"DAYS=ALL","PRICING SOURCE",$C$6)))</f>
        <v>500000</v>
      </c>
      <c r="AF36" s="150" cm="1">
        <f t="array" ref="AF36">IF(B36="","",_xll.BDP($B36,AF$9,"fill=b"))</f>
        <v>6.56</v>
      </c>
      <c r="AG36" s="150"/>
      <c r="AH36" s="190" t="e">
        <f>IF(B36="","",IF($AD36="AT MATURITY",$AB36*1,_xll.BADDPERIODS(_xll.BDP($B36,"issue dt"),"numberofperiods",TRUNC(_xll.BDP($B36,"YRS_TO_LONGEST_AVG_LIFE","YLD_YTM_BID",AF36,"SETTLE_DT",U36,AC36),0),"per=y")+(ROUND(MOD(_xll.BDP(B36,"YRS_TO_LONGEST_AVG_LIFE","YLD_YTM_BID",AF36,"SETTLE_DT",U36,AC36),1)*360,0))))</f>
        <v>#VALUE!</v>
      </c>
      <c r="AI36" s="150" t="e" cm="1">
        <f t="array" ref="AI36">IF(B36="","",AF36-_xll.BInterpol(_xll.BDP(_xll.BDS("YCGT0372 Index","curve members","CURVE_DATE", $U36,"endcol=1","array=true"),"maturity")*1,_xll.BDH(_xll.BDS("YCGT0372 Index","curve members","CURVE_DATE", $U36,"endcol=1","array=true"),"yld cnv mid",$U36,$U36,"days=all"),AH36,"CUBIC","Extrapolate=LINEAR","SKIP=TRUE","SORT=TRUE","MultiX=Average"))</f>
        <v>#VALUE!</v>
      </c>
      <c r="AJ36" s="189" t="str">
        <f t="shared" si="2"/>
        <v/>
      </c>
      <c r="AK36" s="257" t="str" cm="1">
        <f t="array" ref="AK36">IF(B36="","",_xll.BDP($B36,AK$9,"fill=b"))</f>
        <v>140MM</v>
      </c>
      <c r="AL36" s="257" t="str" cm="1">
        <f t="array" ref="AL36">IF(B36="","",_xll.BDP($B36,AL$9,"fill=b"))</f>
        <v>0</v>
      </c>
      <c r="AM36" s="256" cm="1">
        <f t="array" ref="AM36">IF(B36="","",_xll.BDP($B36,AM$9,"fill=b"))</f>
        <v>500000</v>
      </c>
      <c r="AN36" s="150" t="str" cm="1">
        <f t="array" ref="AN36">IF(B36="","",_xll.BDP($B36,AN$9,"fill=b"))</f>
        <v>3/15/2012</v>
      </c>
      <c r="AO36" s="150" t="str" cm="1">
        <f t="array" ref="AO36">IF(B36="","",IF(LEFT(_xlfn.SINGLE(_xll.BDP($B36,AO$9,"fill=b")),1)="#","-",_xll.BDP($B36,AO$9,"fill=b")))</f>
        <v>BTG</v>
      </c>
      <c r="AP36" s="150" t="str" cm="1">
        <f t="array" ref="AP36">IF(B36="","",_xll.BDP($B36,AP$9,"fill=b"))</f>
        <v>Financial</v>
      </c>
      <c r="AQ36" s="150" t="str" cm="1">
        <f t="array" ref="AQ36">IF(B36="","",_xll.BDP($B36,AQ$9,"fill=b"))</f>
        <v>Real Estate</v>
      </c>
      <c r="AR36" s="150" t="str" cm="1">
        <f t="array" ref="AR36">IF(B36="","",_xll.BDP($B36,AR$9,"fill=b"))</f>
        <v/>
      </c>
      <c r="AS36" s="150" t="str" cm="1">
        <f t="array" ref="AS36">IF(B36="","",_xll.BDP($B36,AS$9,"fill=b"))</f>
        <v/>
      </c>
      <c r="AT36" s="150" t="str" cm="1">
        <f t="array" ref="AT36">IF(B36="","",_xll.BDP($B36,AT$9,"fill=b"))</f>
        <v/>
      </c>
      <c r="AU36" s="258" t="str" cm="1">
        <f t="array" ref="AU36">IF(B36="","",_xll.BDP($B36,AU$9,"fill=b"))</f>
        <v>RDMPTN &amp; CPN PYMT LINKED TO IPCA. ISSUED UNDER CVM 476.</v>
      </c>
    </row>
    <row r="37" spans="2:47" ht="15" x14ac:dyDescent="0.25">
      <c r="B37" s="232" t="s">
        <v>328</v>
      </c>
      <c r="C37" s="150" t="str" cm="1">
        <f t="array" ref="C37">IF(B37="","",_xll.BDP($B37,C$9,"fill=b"))</f>
        <v>CTAP11</v>
      </c>
      <c r="D37" s="150" t="str" cm="1">
        <f t="array" ref="D37">IF(B37="","",_xll.BDP($B37,D$9,"fill=b"))</f>
        <v>CTAXBZ Float 08/15/30</v>
      </c>
      <c r="E37" s="150" t="str" cm="1">
        <f t="array" ref="E37">IF(B37="","",_xll.BDP($B37,E$9,"fill=b"))</f>
        <v>CONTAX PARTICIPACOES SA</v>
      </c>
      <c r="F37" s="150" t="str" cm="1">
        <f t="array" ref="F37">IF(B37="","",IF(LEFT(_xlfn.SINGLE(_xll.BDP($B37,F$9,"fill=b")),1)="#","-",_xll.BDP($B37,F$9,"fill=b")))</f>
        <v>CTAX4 BZ</v>
      </c>
      <c r="G37" s="150" t="str" cm="1">
        <f t="array" ref="G37">IF(B37="","",_xll.BDP($B37,G$9,"fill=b"))</f>
        <v>NO CALC-FLOATERS</v>
      </c>
      <c r="H37" s="150" t="str" cm="1">
        <f t="array" ref="H37">IF(B37="","",_xll.BDP($B37,H$9,"fill=b"))</f>
        <v>OVRA BZDI +125.000</v>
      </c>
      <c r="I37" s="150" t="str" cm="1">
        <f t="array" ref="I37">IF(LEFT(_xlfn.SINGLE(_xll.BDP(B37,"REFERENCE_INDEX")),1)="#",IF(LEFT(_xlfn.SINGLE(_xll.BDP(B37, "RESET_IDX"))&amp;" Index",1)="#","",_xlfn.SINGLE(_xll.BDP(B37, "RESET_IDX"))&amp;" Index"),_xll.BDP(B37,"REFERENCE_INDEX"))</f>
        <v>BZDIOVRA Index</v>
      </c>
      <c r="J37" s="150" cm="1">
        <f t="array" ref="J37">IF(I37="BZDIOVRA Index",IF(_xlfn.SINGLE(_xll.BDP(B37,"FLT_SPREAD"))/100=0,_xll.BDP(B37,"FLT_BENCH_MULTIPLIER"),_xlfn.SINGLE(_xll.BDP(B37,"FLT_SPREAD"))/100),"")</f>
        <v>1.25</v>
      </c>
      <c r="K37" s="150" t="str" cm="1">
        <f t="array" ref="K37">IF(B37="","",IF(LEFT(_xlfn.SINGLE(_xll.BDP($B37,K$9,"fill=b")),1)="#","-",_xll.BDP($B37,K$9,"fill=b")))</f>
        <v>6/23/2025</v>
      </c>
      <c r="L37" s="233"/>
      <c r="M37" s="234" t="str">
        <f t="shared" si="3"/>
        <v>20250623</v>
      </c>
      <c r="N37" s="252" t="str" cm="1">
        <f t="array" ref="N37">IF(B37="","",IF(R37="",IF(OR(AD37="SINKABLE",AD37="CALL/SINK"),_xll.BDP(B37,$N$9,$M$9,M37,"PRICING SOURCE",$C$6,"FILL=B"),_xll.BDP(B37,$N$9,$M$9,M37,"PRICING SOURCE",$C$6,"FILL=B")),IF(OR(AD37="SINKABLE",AD37="CALL/SINK"),_xll.BDP(B37,$N$9,$Q$10,S37,$M$9,M37,"PRICING SOURCE",$C$6,"FILL=B"),_xll.BDP(B37,$N$9,$Q$9,S37,$M$9,M37,"PRICING SOURCE",$C$6,"FILL=B"))))</f>
        <v/>
      </c>
      <c r="O37" s="235"/>
      <c r="P37" s="236" t="str">
        <f t="shared" si="10"/>
        <v/>
      </c>
      <c r="Q37" s="166" t="str" cm="1">
        <f t="array" ref="Q37">IF(ISERROR((_xlfn.SINGLE(IF(OR(AD37="SINKABLE",AD37="CALL/SINK"),_xll.BDP($B37,$Q$10,"fill=b","PRICING_SOURCE",$C$6,$AC37,$N$9,$P37,$M$9,$M37),_xll.BDP($B37,Q$9,"fill=b","PRICING_SOURCE",$C$6,$AC37,$N$9,$P37,$M$9,$M37))))*1),"",IF(OR(AD37="SINKABLE",AD37="CALL/SINK"),_xll.BDP($B37,$Q$10,"fill=b","PRICING_SOURCE",$C$6,$AC37,$N$9,$P37,$M$9,$M37),_xll.BDP($B37,Q$9,"fill=b","PRICING_SOURCE",$C$6,$AC37,$N$9,$P37,$M$9,$M37)))</f>
        <v/>
      </c>
      <c r="R37" s="237"/>
      <c r="S37" s="238" t="str">
        <f t="shared" si="11"/>
        <v/>
      </c>
      <c r="T37" s="239" cm="1">
        <f t="array" ref="T37">IF(ISERROR((_xlfn.SINGLE(IF(OR(AD37="SINKABLE",AD37="CALL/SINK"),_xll.BDP($B37,$Q$10,"fill=b","PRICING_SOURCE",$C$6,$AC37,$M$9,$U37,"px ask",$AE37),_xll.BDP($B37,Q$9,"fill=b","PRICING_SOURCE",$C$6,$AC37,$M$9,$U37,"px ask",$AE37))))*1),"",IF(OR(AD37="SINKABLE",AD37="CALL/SINK"),_xll.BDP($B37,$Q$10,"fill=b","PRICING_SOURCE",$C$6,$AC37,$M$9,$U37,"px ask",$AE37),_xll.BDP($B37,Q$9,"fill=b","PRICING_SOURCE",$C$6,$AC37,$M$9,$U37,"px ask",$AE37)))</f>
        <v>10.87</v>
      </c>
      <c r="U37" s="240" t="str">
        <f t="shared" si="0"/>
        <v>20111215</v>
      </c>
      <c r="V37" s="254" cm="1">
        <f t="array" ref="V37">IF(B37="","",IF(I37="BZDIOVRA Index",IF(OR(AD37="SINKABLE",AD37="CALL/SINK"),_xll.BDP($B37,"PX_ASK",$Q$10,J37,$M$9,M37),_xll.BDP($B37,"PX_"&amp;$H$7,$Q$9,J37,$M$9,M37)),_xll.BDP($B37,"PX_"&amp;$H$7,$Q$9,_xll.BDP(B37,"CPN"),$M$9,M37)))</f>
        <v>99.99</v>
      </c>
      <c r="W37" s="254" t="str">
        <f t="shared" si="1"/>
        <v/>
      </c>
      <c r="X37" s="166" t="str" cm="1">
        <f t="array" ref="X37">IF(B37="","",IF(OR(AD37="SINKABLE",AD37="CALL/SINK"),_xll.BDP($B37,X$9,"fill=b","PRICING_SOURCE",$C$6,$AC37,$M$9,$M37,$N$9,$P37,$Q$10,$S37),_xll.BDP($B37,X$9,"fill=b","PRICING_SOURCE",$C$6,$AC37,$M$9,$M37,$N$9,$P37,$Q$9,$S37)))</f>
        <v/>
      </c>
      <c r="Y37" s="166" t="str" cm="1">
        <f t="array" ref="Y37">IF(B37="","",IF(OR(AD37="SINKABLE",AD37="CALL/SINK"),_xll.BDP($B37,Y$9,"fill=b","PRICING_SOURCE",$C$6,$AC37,$M$9,$M37,$N$9,$P37,$Q$10,$S37),_xll.BDP($B37,Y$9,"fill=b","PRICING_SOURCE",$C$6,$AC37,$M$9,$M37,$N$9,$P37,$Q$9,$S37)))</f>
        <v/>
      </c>
      <c r="Z37" s="255" t="str" cm="1">
        <f t="array" ref="Z37">IF(B37="","",IF(OR(AD37="SINKABLE",AD37="CALL/SINK"),_xll.BDP($B37,Z$9,"fill=b","PRICING_SOURCE",$C$6,$AC37,$M$9,$M37,$N$9,$P37,$Q$10,$S37),_xll.BDP($B37,Z$9,"fill=b","PRICING_SOURCE",$C$6,$AC37,$M$9,$M37,$N$9,$P37,$Q$9,$S37)))</f>
        <v/>
      </c>
      <c r="AA37" s="166" t="str" cm="1">
        <f t="array" ref="AA37">IF(B37="","",IF(OR(AD37="SINKABLE",AD37="CALL/SINK"),_xll.BDP($B37,AA$9,"fill=b","PRICING_SOURCE",$C$6,$AC37,$M$9,$M37,$N$9,$P37,$Q$10,$S37),_xll.BDP($B37,AA$9,"fill=b","PRICING_SOURCE",$C$6,$AC37,$M$9,$M37,$N$9,$P37,$Q$9,$S37)))</f>
        <v/>
      </c>
      <c r="AB37" s="150" t="str" cm="1">
        <f t="array" ref="AB37">IF(B37="","",IF(LEFT(_xlfn.SINGLE(_xll.BDP($B37,AB$9,"fill=b")),1)="#","-",_xll.BDP($B37,AB$9,"fill=b")))</f>
        <v>8/15/2030</v>
      </c>
      <c r="AC37" s="150" t="str">
        <f t="shared" si="12"/>
        <v>YLD FLAG=28</v>
      </c>
      <c r="AD37" s="150" t="str" cm="1">
        <f t="array" ref="AD37">IF(B37="","",_xll.BDP($B37,AD$9,"fill=b"))</f>
        <v>SINKABLE</v>
      </c>
      <c r="AE37" s="256" cm="1">
        <f t="array" ref="AE37">IF(B37="","",IF(ISERROR(_xlfn.SINGLE(_xll.BDH(B37,"PX LAST",AN37,AN37,"DAYS=ALL","PRICING SOURCE",$C$6))*1),_xll.BDP(B37,"PAR AMT"),_xll.BDH(B37,"PX LAST",AN37,AN37,"DAYS=ALL","PRICING SOURCE",$C$6)))</f>
        <v>7125</v>
      </c>
      <c r="AF37" s="150" t="str" cm="1">
        <f t="array" ref="AF37">IF(B37="","",_xll.BDP($B37,AF$9,"fill=b"))</f>
        <v/>
      </c>
      <c r="AG37" s="150"/>
      <c r="AH37" s="190">
        <f>IF(B37="","",IF($AD37="AT MATURITY",$AB37*1,_xll.BADDPERIODS(_xll.BDP($B37,"issue dt"),"numberofperiods",TRUNC(_xll.BDP($B37,"YRS_TO_LONGEST_AVG_LIFE","YLD_YTM_BID",AF37,"SETTLE_DT",U37,AC37),0),"per=y")+(ROUND(MOD(_xll.BDP(B37,"YRS_TO_LONGEST_AVG_LIFE","YLD_YTM_BID",AF37,"SETTLE_DT",U37,AC37),1)*360,0))))</f>
        <v>40892</v>
      </c>
      <c r="AI37" s="150" t="e" cm="1">
        <f t="array" ref="AI37">IF(B37="","",AF37-_xll.BInterpol(_xll.BDP(_xll.BDS("YCGT0372 Index","curve members","CURVE_DATE", $U37,"endcol=1","array=true"),"maturity")*1,_xll.BDH(_xll.BDS("YCGT0372 Index","curve members","CURVE_DATE", $U37,"endcol=1","array=true"),"yld cnv mid",$U37,$U37,"days=all"),AH37,"CUBIC","Extrapolate=LINEAR","SKIP=TRUE","SORT=TRUE","MultiX=Average"))</f>
        <v>#VALUE!</v>
      </c>
      <c r="AJ37" s="189" t="str">
        <f t="shared" si="2"/>
        <v/>
      </c>
      <c r="AK37" s="257" t="str" cm="1">
        <f t="array" ref="AK37">IF(B37="","",_xll.BDP($B37,AK$9,"fill=b"))</f>
        <v>212.64MM</v>
      </c>
      <c r="AL37" s="257" t="str" cm="1">
        <f t="array" ref="AL37">IF(B37="","",_xll.BDP($B37,AL$9,"fill=b"))</f>
        <v>207.324MM</v>
      </c>
      <c r="AM37" s="256" cm="1">
        <f t="array" ref="AM37">IF(B37="","",_xll.BDP($B37,AM$9,"fill=b"))</f>
        <v>7125</v>
      </c>
      <c r="AN37" s="150" t="str" cm="1">
        <f t="array" ref="AN37">IF(B37="","",_xll.BDP($B37,AN$9,"fill=b"))</f>
        <v>12/15/2011</v>
      </c>
      <c r="AO37" s="150" t="str" cm="1">
        <f t="array" ref="AO37">IF(B37="","",IF(LEFT(_xlfn.SINGLE(_xll.BDP($B37,AO$9,"fill=b")),1)="#","-",_xll.BDP($B37,AO$9,"fill=b")))</f>
        <v>ITABBA</v>
      </c>
      <c r="AP37" s="150" t="str" cm="1">
        <f t="array" ref="AP37">IF(B37="","",_xll.BDP($B37,AP$9,"fill=b"))</f>
        <v>Technology</v>
      </c>
      <c r="AQ37" s="150" t="str" cm="1">
        <f t="array" ref="AQ37">IF(B37="","",_xll.BDP($B37,AQ$9,"fill=b"))</f>
        <v>Computers</v>
      </c>
      <c r="AR37" s="150" t="str" cm="1">
        <f t="array" ref="AR37">IF(B37="","",_xll.BDP($B37,AR$9,"fill=b"))</f>
        <v/>
      </c>
      <c r="AS37" s="150" t="str" cm="1">
        <f t="array" ref="AS37">IF(B37="","",_xll.BDP($B37,AS$9,"fill=b"))</f>
        <v/>
      </c>
      <c r="AT37" s="150" t="str" cm="1">
        <f t="array" ref="AT37">IF(B37="","",_xll.BDP($B37,AT$9,"fill=b"))</f>
        <v/>
      </c>
      <c r="AU37" s="258" t="str" cm="1">
        <f t="array" ref="AU37">IF(B37="","",_xll.BDP($B37,AU$9,"fill=b"))</f>
        <v>CPN = BZDIOVRA + 125BPS. ISSUED UNDER CVM 476.</v>
      </c>
    </row>
    <row r="38" spans="2:47" ht="15" x14ac:dyDescent="0.25">
      <c r="B38" s="232" t="s">
        <v>254</v>
      </c>
      <c r="C38" s="150" t="str" cm="1">
        <f t="array" ref="C38">IF(B38="","",_xll.BDP($B38,C$9,"fill=b"))</f>
        <v>ENGI25</v>
      </c>
      <c r="D38" s="150" t="str" cm="1">
        <f t="array" ref="D38">IF(B38="","",_xll.BDP($B38,D$9,"fill=b"))</f>
        <v>ENGIBZ 10.7011 07/15/19</v>
      </c>
      <c r="E38" s="150" t="str" cm="1">
        <f t="array" ref="E38">IF(B38="","",_xll.BDP($B38,E$9,"fill=b"))</f>
        <v>ENERGISA SA</v>
      </c>
      <c r="F38" s="150" t="str" cm="1">
        <f t="array" ref="F38">IF(B38="","",IF(LEFT(_xlfn.SINGLE(_xll.BDP($B38,F$9,"fill=b")),1)="#","-",_xll.BDP($B38,F$9,"fill=b")))</f>
        <v>ENGI3 BZ</v>
      </c>
      <c r="G38" s="150" t="str" cm="1">
        <f t="array" ref="G38">IF(B38="","",_xll.BDP($B38,G$9,"fill=b"))</f>
        <v>BRAZIL IPCA+SPREAD</v>
      </c>
      <c r="H38" s="150" t="str" cm="1">
        <f t="array" ref="H38">IF(B38="","",_xll.BDP($B38,H$9,"fill=b"))</f>
        <v/>
      </c>
      <c r="I38" s="150" t="str" cm="1">
        <f t="array" ref="I38">IF(LEFT(_xlfn.SINGLE(_xll.BDP(B38,"REFERENCE_INDEX")),1)="#",IF(LEFT(_xlfn.SINGLE(_xll.BDP(B38, "RESET_IDX"))&amp;" Index",1)="#","",_xlfn.SINGLE(_xll.BDP(B38, "RESET_IDX"))&amp;" Index"),_xll.BDP(B38,"REFERENCE_INDEX"))</f>
        <v>BZCLVLUE Index</v>
      </c>
      <c r="J38" s="150" t="str">
        <f>IF(I38="BZDIOVRA Index",IF(_xll.BDP(B38,"FLT_SPREAD")/100=0,_xll.BDP(B38,"FLT_BENCH_MULTIPLIER"),_xll.BDP(B38,"FLT_SPREAD")/100),"")</f>
        <v/>
      </c>
      <c r="K38" s="150" t="str" cm="1">
        <f t="array" ref="K38">IF(B38="","",IF(LEFT(_xlfn.SINGLE(_xll.BDP($B38,K$9,"fill=b")),1)="#","-",_xll.BDP($B38,K$9,"fill=b")))</f>
        <v>-</v>
      </c>
      <c r="L38" s="233"/>
      <c r="M38" s="234" t="e">
        <f t="shared" si="3"/>
        <v>#VALUE!</v>
      </c>
      <c r="N38" s="252" t="e">
        <f>IF(B38="","",IF(R38="",IF(OR(AD38="SINKABLE",AD38="CALL/SINK"),_xll.BDP(B38,$N$9,$M$9,M38,"PRICING SOURCE",$C$6,"FILL=B"),_xll.BDP(B38,$N$9,$M$9,M38,"PRICING SOURCE",$C$6,"FILL=B")),IF(OR(AD38="SINKABLE",AD38="CALL/SINK"),_xll.BDP(B38,$N$9,$Q$10,S38,$M$9,M38,"PRICING SOURCE",$C$6,"FILL=B"),_xll.BDP(B38,$N$9,$Q$9,S38,$M$9,M38,"PRICING SOURCE",$C$6,"FILL=B"))))</f>
        <v>#VALUE!</v>
      </c>
      <c r="O38" s="235"/>
      <c r="P38" s="236" t="e">
        <f t="shared" si="10"/>
        <v>#VALUE!</v>
      </c>
      <c r="Q38" s="166" t="str">
        <f>IF(ISERROR((IF(OR(AD38="SINKABLE",AD38="CALL/SINK"),_xll.BDP($B38,$Q$10,"fill=b","PRICING_SOURCE",$C$6,$AC38,$N$9,$P38,$M$9,$M38),_xll.BDP($B38,Q$9,"fill=b","PRICING_SOURCE",$C$6,$AC38,$N$9,$P38,$M$9,$M38)))*1),"",IF(OR(AD38="SINKABLE",AD38="CALL/SINK"),_xll.BDP($B38,$Q$10,"fill=b","PRICING_SOURCE",$C$6,$AC38,$N$9,$P38,$M$9,$M38),_xll.BDP($B38,Q$9,"fill=b","PRICING_SOURCE",$C$6,$AC38,$N$9,$P38,$M$9,$M38)))</f>
        <v/>
      </c>
      <c r="R38" s="237"/>
      <c r="S38" s="238" t="str">
        <f t="shared" si="11"/>
        <v/>
      </c>
      <c r="T38" s="239" cm="1">
        <f t="array" ref="T38">IF(ISERROR((_xlfn.SINGLE(IF(OR(AD38="SINKABLE",AD38="CALL/SINK"),_xll.BDP($B38,$Q$10,"fill=b","PRICING_SOURCE",$C$6,$AC38,$M$9,$U38,"px ask",$AE38),_xll.BDP($B38,Q$9,"fill=b","PRICING_SOURCE",$C$6,$AC38,$M$9,$U38,"px ask",$AE38))))*1),"",IF(OR(AD38="SINKABLE",AD38="CALL/SINK"),_xll.BDP($B38,$Q$10,"fill=b","PRICING_SOURCE",$C$6,$AC38,$M$9,$U38,"px ask",$AE38),_xll.BDP($B38,Q$9,"fill=b","PRICING_SOURCE",$C$6,$AC38,$M$9,$U38,"px ask",$AE38)))</f>
        <v>115.33976887413216</v>
      </c>
      <c r="U38" s="240" t="str">
        <f t="shared" si="0"/>
        <v>20120715</v>
      </c>
      <c r="V38" s="254" t="e" cm="1">
        <f t="array" ref="V38">IF(B38="","",IF(I38="BZDIOVRA Index",IF(OR(AD38="SINKABLE",AD38="CALL/SINK"),_xll.BDP($B38,"PX_ASK",$Q$10,J38,$M$9,M38),_xll.BDP($B38,"PX_"&amp;$H$7,$Q$9,J38,$M$9,M38)),_xll.BDP($B38,"PX_"&amp;$H$7,$Q$9,_xll.BDP(B38,"CPN"),$M$9,M38)))</f>
        <v>#VALUE!</v>
      </c>
      <c r="W38" s="254" t="str">
        <f t="shared" si="1"/>
        <v/>
      </c>
      <c r="X38" s="166" t="e">
        <f>IF(B38="","",IF(OR(AD38="SINKABLE",AD38="CALL/SINK"),_xll.BDP($B38,X$9,"fill=b","PRICING_SOURCE",$C$6,$AC38,$M$9,$M38,$N$9,$P38,$Q$10,$S38),_xll.BDP($B38,X$9,"fill=b","PRICING_SOURCE",$C$6,$AC38,$M$9,$M38,$N$9,$P38,$Q$9,$S38)))</f>
        <v>#VALUE!</v>
      </c>
      <c r="Y38" s="166" t="e">
        <f>IF(B38="","",IF(OR(AD38="SINKABLE",AD38="CALL/SINK"),_xll.BDP($B38,Y$9,"fill=b","PRICING_SOURCE",$C$6,$AC38,$M$9,$M38,$N$9,$P38,$Q$10,$S38),_xll.BDP($B38,Y$9,"fill=b","PRICING_SOURCE",$C$6,$AC38,$M$9,$M38,$N$9,$P38,$Q$9,$S38)))</f>
        <v>#VALUE!</v>
      </c>
      <c r="Z38" s="255" t="e">
        <f>IF(B38="","",IF(OR(AD38="SINKABLE",AD38="CALL/SINK"),_xll.BDP($B38,Z$9,"fill=b","PRICING_SOURCE",$C$6,$AC38,$M$9,$M38,$N$9,$P38,$Q$10,$S38),_xll.BDP($B38,Z$9,"fill=b","PRICING_SOURCE",$C$6,$AC38,$M$9,$M38,$N$9,$P38,$Q$9,$S38)))</f>
        <v>#VALUE!</v>
      </c>
      <c r="AA38" s="166" t="e">
        <f>IF(B38="","",IF(OR(AD38="SINKABLE",AD38="CALL/SINK"),_xll.BDP($B38,AA$9,"fill=b","PRICING_SOURCE",$C$6,$AC38,$M$9,$M38,$N$9,$P38,$Q$10,$S38),_xll.BDP($B38,AA$9,"fill=b","PRICING_SOURCE",$C$6,$AC38,$M$9,$M38,$N$9,$P38,$Q$9,$S38)))</f>
        <v>#VALUE!</v>
      </c>
      <c r="AB38" s="150" t="str" cm="1">
        <f t="array" ref="AB38">IF(B38="","",IF(LEFT(_xlfn.SINGLE(_xll.BDP($B38,AB$9,"fill=b")),1)="#","-",_xll.BDP($B38,AB$9,"fill=b")))</f>
        <v>7/15/2019</v>
      </c>
      <c r="AC38" s="150" t="str">
        <f t="shared" si="12"/>
        <v>YLD FLAG=28</v>
      </c>
      <c r="AD38" s="150" t="str" cm="1">
        <f t="array" ref="AD38">IF(B38="","",_xll.BDP($B38,AD$9,"fill=b"))</f>
        <v>SINKABLE</v>
      </c>
      <c r="AE38" s="256" cm="1">
        <f t="array" ref="AE38">IF(B38="","",IF(ISERROR(_xlfn.SINGLE(_xll.BDH(B38,"PX LAST",AN38,AN38,"DAYS=ALL","PRICING SOURCE",$C$6))*1),_xll.BDP(B38,"PAR AMT"),_xll.BDH(B38,"PX LAST",AN38,AN38,"DAYS=ALL","PRICING SOURCE",$C$6)))</f>
        <v>5000</v>
      </c>
      <c r="AF38" s="150" cm="1">
        <f t="array" ref="AF38">IF(B38="","",_xll.BDP($B38,AF$9,"fill=b"))</f>
        <v>10.7011</v>
      </c>
      <c r="AG38" s="150"/>
      <c r="AH38" s="190" t="e">
        <f>IF(B38="","",IF($AD38="AT MATURITY",$AB38*1,_xll.BADDPERIODS(_xll.BDP($B38,"issue dt"),"numberofperiods",TRUNC(_xll.BDP($B38,"YRS_TO_LONGEST_AVG_LIFE","YLD_YTM_BID",AF38,"SETTLE_DT",U38,AC38),0),"per=y")+(ROUND(MOD(_xll.BDP(B38,"YRS_TO_LONGEST_AVG_LIFE","YLD_YTM_BID",AF38,"SETTLE_DT",U38,AC38),1)*360,0))))</f>
        <v>#VALUE!</v>
      </c>
      <c r="AI38" s="150" t="e">
        <f t="array" ref="AI38">IF(B38="","",AF38-_xll.BInterpol(_xll.BDP(_xll.BDS("YCGT0372 Index","curve members","CURVE_DATE", $U38,"endcol=1","array=true"),"maturity")*1,_xll.BDH(_xll.BDS("YCGT0372 Index","curve members","CURVE_DATE", $U38,"endcol=1","array=true"),"yld cnv mid",$U38,$U38,"days=all"),AH38,"CUBIC","Extrapolate=LINEAR","SKIP=TRUE","SORT=TRUE","MultiX=Average"))</f>
        <v>#VALUE!</v>
      </c>
      <c r="AJ38" s="189" t="str">
        <f t="shared" si="2"/>
        <v/>
      </c>
      <c r="AK38" s="257" t="str" cm="1">
        <f t="array" ref="AK38">IF(B38="","",_xll.BDP($B38,AK$9,"fill=b"))</f>
        <v>271.43MM</v>
      </c>
      <c r="AL38" s="257" t="str" cm="1">
        <f t="array" ref="AL38">IF(B38="","",_xll.BDP($B38,AL$9,"fill=b"))</f>
        <v>0</v>
      </c>
      <c r="AM38" s="256" cm="1">
        <f t="array" ref="AM38">IF(B38="","",_xll.BDP($B38,AM$9,"fill=b"))</f>
        <v>5000</v>
      </c>
      <c r="AN38" s="150" t="str" cm="1">
        <f t="array" ref="AN38">IF(B38="","",_xll.BDP($B38,AN$9,"fill=b"))</f>
        <v>7/15/2012</v>
      </c>
      <c r="AO38" s="150" t="str" cm="1">
        <f t="array" ref="AO38">IF(B38="","",IF(LEFT(_xlfn.SINGLE(_xll.BDP($B38,AO$9,"fill=b")),1)="#","-",_xll.BDP($B38,AO$9,"fill=b")))</f>
        <v>BTG</v>
      </c>
      <c r="AP38" s="150" t="str" cm="1">
        <f t="array" ref="AP38">IF(B38="","",_xll.BDP($B38,AP$9,"fill=b"))</f>
        <v>Utilities</v>
      </c>
      <c r="AQ38" s="150" t="str" cm="1">
        <f t="array" ref="AQ38">IF(B38="","",_xll.BDP($B38,AQ$9,"fill=b"))</f>
        <v>Electric</v>
      </c>
      <c r="AR38" s="150" t="str" cm="1">
        <f t="array" ref="AR38">IF(B38="","",_xll.BDP($B38,AR$9,"fill=b"))</f>
        <v/>
      </c>
      <c r="AS38" s="150" t="str" cm="1">
        <f t="array" ref="AS38">IF(B38="","",_xll.BDP($B38,AS$9,"fill=b"))</f>
        <v/>
      </c>
      <c r="AT38" s="150" t="str" cm="1">
        <f t="array" ref="AT38">IF(B38="","",_xll.BDP($B38,AT$9,"fill=b"))</f>
        <v/>
      </c>
      <c r="AU38" s="258" t="str" cm="1">
        <f t="array" ref="AU38">IF(B38="","",_xll.BDP($B38,AU$9,"fill=b"))</f>
        <v>CPN = BZCLVLUE INDEX + 1070.11 BPS.</v>
      </c>
    </row>
    <row r="39" spans="2:47" ht="15" x14ac:dyDescent="0.25">
      <c r="B39" s="232" t="s">
        <v>326</v>
      </c>
      <c r="C39" s="150" t="str" cm="1">
        <f t="array" ref="C39">IF(B39="","",_xll.BDP($B39,C$9,"fill=b"))</f>
        <v>BRPR11</v>
      </c>
      <c r="D39" s="150" t="str" cm="1">
        <f t="array" ref="D39">IF(B39="","",_xll.BDP($B39,D$9,"fill=b"))</f>
        <v>BRPRSA Float 07/15/17</v>
      </c>
      <c r="E39" s="150" t="str" cm="1">
        <f t="array" ref="E39">IF(B39="","",_xll.BDP($B39,E$9,"fill=b"))</f>
        <v>BR PROPERTIES SA</v>
      </c>
      <c r="F39" s="150" t="str" cm="1">
        <f t="array" ref="F39">IF(B39="","",IF(LEFT(_xlfn.SINGLE(_xll.BDP($B39,F$9,"fill=b")),1)="#","-",_xll.BDP($B39,F$9,"fill=b")))</f>
        <v>GPIV33 BZ</v>
      </c>
      <c r="G39" s="150" t="str" cm="1">
        <f t="array" ref="G39">IF(B39="","",_xll.BDP($B39,G$9,"fill=b"))</f>
        <v>BRAZIL DI+SPREAD</v>
      </c>
      <c r="H39" s="150" t="str" cm="1">
        <f t="array" ref="H39">IF(B39="","",_xll.BDP($B39,H$9,"fill=b"))</f>
        <v>OVRA BZDI +108.000</v>
      </c>
      <c r="I39" s="150" t="str" cm="1">
        <f t="array" ref="I39">IF(LEFT(_xlfn.SINGLE(_xll.BDP(B39,"REFERENCE_INDEX")),1)="#",IF(LEFT(_xlfn.SINGLE(_xll.BDP(B39, "RESET_IDX"))&amp;" Index",1)="#","",_xlfn.SINGLE(_xll.BDP(B39, "RESET_IDX"))&amp;" Index"),_xll.BDP(B39,"REFERENCE_INDEX"))</f>
        <v>BZDIOVRA Index</v>
      </c>
      <c r="J39" s="150" cm="1">
        <f t="array" ref="J39">IF(I39="BZDIOVRA Index",IF(_xlfn.SINGLE(_xll.BDP(B39,"FLT_SPREAD"))/100=0,_xll.BDP(B39,"FLT_BENCH_MULTIPLIER"),_xlfn.SINGLE(_xll.BDP(B39,"FLT_SPREAD"))/100),"")</f>
        <v>1.08</v>
      </c>
      <c r="K39" s="150" t="str" cm="1">
        <f t="array" ref="K39">IF(B39="","",IF(LEFT(_xlfn.SINGLE(_xll.BDP($B39,K$9,"fill=b")),1)="#","-",_xll.BDP($B39,K$9,"fill=b")))</f>
        <v>-</v>
      </c>
      <c r="L39" s="233"/>
      <c r="M39" s="234" t="e">
        <f t="shared" si="3"/>
        <v>#VALUE!</v>
      </c>
      <c r="N39" s="252" t="e">
        <f>IF(B39="","",IF(R39="",IF(OR(AD39="SINKABLE",AD39="CALL/SINK"),_xll.BDP(B39,$N$9,$M$9,M39,"PRICING SOURCE",$C$6,"FILL=B"),_xll.BDP(B39,$N$9,$M$9,M39,"PRICING SOURCE",$C$6,"FILL=B")),IF(OR(AD39="SINKABLE",AD39="CALL/SINK"),_xll.BDP(B39,$N$9,$Q$10,S39,$M$9,M39,"PRICING SOURCE",$C$6,"FILL=B"),_xll.BDP(B39,$N$9,$Q$9,S39,$M$9,M39,"PRICING SOURCE",$C$6,"FILL=B"))))</f>
        <v>#VALUE!</v>
      </c>
      <c r="O39" s="235"/>
      <c r="P39" s="236" t="e">
        <f t="shared" si="10"/>
        <v>#VALUE!</v>
      </c>
      <c r="Q39" s="166" t="str">
        <f>IF(ISERROR((IF(OR(AD39="SINKABLE",AD39="CALL/SINK"),_xll.BDP($B39,$Q$10,"fill=b","PRICING_SOURCE",$C$6,$AC39,$N$9,$P39,$M$9,$M39),_xll.BDP($B39,Q$9,"fill=b","PRICING_SOURCE",$C$6,$AC39,$N$9,$P39,$M$9,$M39)))*1),"",IF(OR(AD39="SINKABLE",AD39="CALL/SINK"),_xll.BDP($B39,$Q$10,"fill=b","PRICING_SOURCE",$C$6,$AC39,$N$9,$P39,$M$9,$M39),_xll.BDP($B39,Q$9,"fill=b","PRICING_SOURCE",$C$6,$AC39,$N$9,$P39,$M$9,$M39)))</f>
        <v/>
      </c>
      <c r="R39" s="237"/>
      <c r="S39" s="238" t="str">
        <f t="shared" si="11"/>
        <v/>
      </c>
      <c r="T39" s="239" cm="1">
        <f t="array" ref="T39">IF(ISERROR((_xlfn.SINGLE(IF(OR(AD39="SINKABLE",AD39="CALL/SINK"),_xll.BDP($B39,$Q$10,"fill=b","PRICING_SOURCE",$C$6,$AC39,$M$9,$U39,"px ask",$AE39),_xll.BDP($B39,Q$9,"fill=b","PRICING_SOURCE",$C$6,$AC39,$M$9,$U39,"px ask",$AE39))))*1),"",IF(OR(AD39="SINKABLE",AD39="CALL/SINK"),_xll.BDP($B39,$Q$10,"fill=b","PRICING_SOURCE",$C$6,$AC39,$M$9,$U39,"px ask",$AE39),_xll.BDP($B39,Q$9,"fill=b","PRICING_SOURCE",$C$6,$AC39,$M$9,$U39,"px ask",$AE39)))</f>
        <v>20.505196981138909</v>
      </c>
      <c r="U39" s="240" t="str">
        <f t="shared" si="0"/>
        <v>20120715</v>
      </c>
      <c r="V39" s="254" t="e" cm="1">
        <f t="array" ref="V39">IF(B39="","",IF(I39="BZDIOVRA Index",IF(OR(AD39="SINKABLE",AD39="CALL/SINK"),_xll.BDP($B39,"PX_ASK",$Q$10,J39,$M$9,M39),_xll.BDP($B39,"PX_"&amp;$H$7,$Q$9,J39,$M$9,M39)),_xll.BDP($B39,"PX_"&amp;$H$7,$Q$9,_xll.BDP(B39,"CPN"),$M$9,M39)))</f>
        <v>#VALUE!</v>
      </c>
      <c r="W39" s="254" t="str">
        <f t="shared" si="1"/>
        <v/>
      </c>
      <c r="X39" s="166" t="e">
        <f>IF(B39="","",IF(OR(AD39="SINKABLE",AD39="CALL/SINK"),_xll.BDP($B39,X$9,"fill=b","PRICING_SOURCE",$C$6,$AC39,$M$9,$M39,$N$9,$P39,$Q$10,$S39),_xll.BDP($B39,X$9,"fill=b","PRICING_SOURCE",$C$6,$AC39,$M$9,$M39,$N$9,$P39,$Q$9,$S39)))</f>
        <v>#VALUE!</v>
      </c>
      <c r="Y39" s="166" t="e">
        <f>IF(B39="","",IF(OR(AD39="SINKABLE",AD39="CALL/SINK"),_xll.BDP($B39,Y$9,"fill=b","PRICING_SOURCE",$C$6,$AC39,$M$9,$M39,$N$9,$P39,$Q$10,$S39),_xll.BDP($B39,Y$9,"fill=b","PRICING_SOURCE",$C$6,$AC39,$M$9,$M39,$N$9,$P39,$Q$9,$S39)))</f>
        <v>#VALUE!</v>
      </c>
      <c r="Z39" s="255" t="e">
        <f>IF(B39="","",IF(OR(AD39="SINKABLE",AD39="CALL/SINK"),_xll.BDP($B39,Z$9,"fill=b","PRICING_SOURCE",$C$6,$AC39,$M$9,$M39,$N$9,$P39,$Q$10,$S39),_xll.BDP($B39,Z$9,"fill=b","PRICING_SOURCE",$C$6,$AC39,$M$9,$M39,$N$9,$P39,$Q$9,$S39)))</f>
        <v>#VALUE!</v>
      </c>
      <c r="AA39" s="166" t="e">
        <f>IF(B39="","",IF(OR(AD39="SINKABLE",AD39="CALL/SINK"),_xll.BDP($B39,AA$9,"fill=b","PRICING_SOURCE",$C$6,$AC39,$M$9,$M39,$N$9,$P39,$Q$10,$S39),_xll.BDP($B39,AA$9,"fill=b","PRICING_SOURCE",$C$6,$AC39,$M$9,$M39,$N$9,$P39,$Q$9,$S39)))</f>
        <v>#VALUE!</v>
      </c>
      <c r="AB39" s="150" t="str" cm="1">
        <f t="array" ref="AB39">IF(B39="","",IF(LEFT(_xlfn.SINGLE(_xll.BDP($B39,AB$9,"fill=b")),1)="#","-",_xll.BDP($B39,AB$9,"fill=b")))</f>
        <v>7/15/2017</v>
      </c>
      <c r="AC39" s="150" t="str">
        <f t="shared" si="12"/>
        <v>YLD FLAG=28</v>
      </c>
      <c r="AD39" s="150" t="str" cm="1">
        <f t="array" ref="AD39">IF(B39="","",_xll.BDP($B39,AD$9,"fill=b"))</f>
        <v>SINKABLE</v>
      </c>
      <c r="AE39" s="256" cm="1">
        <f t="array" ref="AE39">IF(B39="","",IF(ISERROR(_xlfn.SINGLE(_xll.BDH(B39,"PX LAST",AN39,AN39,"DAYS=ALL","PRICING SOURCE",$C$6))*1),_xll.BDP(B39,"PAR AMT"),_xll.BDH(B39,"PX LAST",AN39,AN39,"DAYS=ALL","PRICING SOURCE",$C$6)))</f>
        <v>500</v>
      </c>
      <c r="AF39" s="150" cm="1">
        <f t="array" ref="AF39">IF(B39="","",_xll.BDP($B39,AF$9,"fill=b"))</f>
        <v>6.0798477999999996</v>
      </c>
      <c r="AG39" s="150"/>
      <c r="AH39" s="190">
        <f>IF(B39="","",IF($AD39="AT MATURITY",$AB39*1,_xll.BADDPERIODS(_xll.BDP($B39,"issue dt"),"numberofperiods",TRUNC(_xll.BDP($B39,"YRS_TO_LONGEST_AVG_LIFE","YLD_YTM_BID",AF39,"SETTLE_DT",U39,AC39),0),"per=y")+(ROUND(MOD(_xll.BDP(B39,"YRS_TO_LONGEST_AVG_LIFE","YLD_YTM_BID",AF39,"SETTLE_DT",U39,AC39),1)*360,0))))</f>
        <v>42746</v>
      </c>
      <c r="AI39" s="150" t="e">
        <f t="array" ref="AI39">IF(B39="","",AF39-_xll.BInterpol(_xll.BDP(_xll.BDS("YCGT0372 Index","curve members","CURVE_DATE", $U39,"endcol=1","array=true"),"maturity")*1,_xll.BDH(_xll.BDS("YCGT0372 Index","curve members","CURVE_DATE", $U39,"endcol=1","array=true"),"yld cnv mid",$U39,$U39,"days=all"),AH39,"CUBIC","Extrapolate=LINEAR","SKIP=TRUE","SORT=TRUE","MultiX=Average"))</f>
        <v>#VALUE!</v>
      </c>
      <c r="AJ39" s="189">
        <f t="shared" si="2"/>
        <v>1.08</v>
      </c>
      <c r="AK39" s="257" t="str" cm="1">
        <f t="array" ref="AK39">IF(B39="","",_xll.BDP($B39,AK$9,"fill=b"))</f>
        <v>369.036MM</v>
      </c>
      <c r="AL39" s="257" t="str" cm="1">
        <f t="array" ref="AL39">IF(B39="","",_xll.BDP($B39,AL$9,"fill=b"))</f>
        <v>0</v>
      </c>
      <c r="AM39" s="256" cm="1">
        <f t="array" ref="AM39">IF(B39="","",_xll.BDP($B39,AM$9,"fill=b"))</f>
        <v>500</v>
      </c>
      <c r="AN39" s="150" t="str" cm="1">
        <f t="array" ref="AN39">IF(B39="","",_xll.BDP($B39,AN$9,"fill=b"))</f>
        <v>7/15/2012</v>
      </c>
      <c r="AO39" s="150" t="str" cm="1">
        <f t="array" ref="AO39">IF(B39="","",IF(LEFT(_xlfn.SINGLE(_xll.BDP($B39,AO$9,"fill=b")),1)="#","-",_xll.BDP($B39,AO$9,"fill=b")))</f>
        <v>JOINT LEADS</v>
      </c>
      <c r="AP39" s="150" t="str" cm="1">
        <f t="array" ref="AP39">IF(B39="","",_xll.BDP($B39,AP$9,"fill=b"))</f>
        <v>Financial</v>
      </c>
      <c r="AQ39" s="150" t="str" cm="1">
        <f t="array" ref="AQ39">IF(B39="","",_xll.BDP($B39,AQ$9,"fill=b"))</f>
        <v>Real Estate</v>
      </c>
      <c r="AR39" s="150" t="str" cm="1">
        <f t="array" ref="AR39">IF(B39="","",_xll.BDP($B39,AR$9,"fill=b"))</f>
        <v>NR</v>
      </c>
      <c r="AS39" s="150" t="str" cm="1">
        <f t="array" ref="AS39">IF(B39="","",_xll.BDP($B39,AS$9,"fill=b"))</f>
        <v/>
      </c>
      <c r="AT39" s="150" t="str" cm="1">
        <f t="array" ref="AT39">IF(B39="","",_xll.BDP($B39,AT$9,"fill=b"))</f>
        <v/>
      </c>
      <c r="AU39" s="258" t="str" cm="1">
        <f t="array" ref="AU39">IF(B39="","",_xll.BDP($B39,AU$9,"fill=b"))</f>
        <v>CPN = BZDIOVRA INDEX + 108BP</v>
      </c>
    </row>
    <row r="40" spans="2:47" ht="15" x14ac:dyDescent="0.25">
      <c r="B40" s="232" t="s">
        <v>239</v>
      </c>
      <c r="C40" s="150" t="str" cm="1">
        <f t="array" ref="C40">IF(B40="","",_xll.BDP($B40,C$9,"fill=b"))</f>
        <v>RDVT11</v>
      </c>
      <c r="D40" s="150" t="str" cm="1">
        <f t="array" ref="D40">IF(B40="","",_xll.BDP($B40,D$9,"fill=b"))</f>
        <v>CONTIE 8 06/15/28</v>
      </c>
      <c r="E40" s="150" t="str" cm="1">
        <f t="array" ref="E40">IF(B40="","",_xll.BDP($B40,E$9,"fill=b"))</f>
        <v>CONCESSIONARIA ROD TIETE</v>
      </c>
      <c r="F40" s="150" t="str" cm="1">
        <f t="array" ref="F40">IF(B40="","",IF(LEFT(_xlfn.SINGLE(_xll.BDP($B40,F$9,"fill=b")),1)="#","-",_xll.BDP($B40,F$9,"fill=b")))</f>
        <v>0294480D BZ</v>
      </c>
      <c r="G40" s="150" t="str" cm="1">
        <f t="array" ref="G40">IF(B40="","",_xll.BDP($B40,G$9,"fill=b"))</f>
        <v>*NO CALCULATIONS*</v>
      </c>
      <c r="H40" s="150" t="str" cm="1">
        <f t="array" ref="H40">IF(B40="","",_xll.BDP($B40,H$9,"fill=b"))</f>
        <v/>
      </c>
      <c r="I40" s="150" t="str" cm="1">
        <f t="array" ref="I40">IF(LEFT(_xlfn.SINGLE(_xll.BDP(B40,"REFERENCE_INDEX")),1)="#",IF(LEFT(_xlfn.SINGLE(_xll.BDP(B40, "RESET_IDX"))&amp;" Index",1)="#","",_xlfn.SINGLE(_xll.BDP(B40, "RESET_IDX"))&amp;" Index"),_xll.BDP(B40,"REFERENCE_INDEX"))</f>
        <v/>
      </c>
      <c r="J40" s="150" t="str">
        <f>IF(I40="BZDIOVRA Index",IF(_xll.BDP(B40,"FLT_SPREAD")/100=0,_xll.BDP(B40,"FLT_BENCH_MULTIPLIER"),_xll.BDP(B40,"FLT_SPREAD")/100),"")</f>
        <v/>
      </c>
      <c r="K40" s="150" t="str" cm="1">
        <f t="array" ref="K40">IF(B40="","",IF(LEFT(_xlfn.SINGLE(_xll.BDP($B40,K$9,"fill=b")),1)="#","-",_xll.BDP($B40,K$9,"fill=b")))</f>
        <v>6/23/2025</v>
      </c>
      <c r="L40" s="233"/>
      <c r="M40" s="234" t="str">
        <f t="shared" si="3"/>
        <v>20250623</v>
      </c>
      <c r="N40" s="252" t="str" cm="1">
        <f t="array" ref="N40">IF(B40="","",IF(R40="",IF(OR(AD40="SINKABLE",AD40="CALL/SINK"),_xll.BDP(B40,$N$9,$M$9,M40,"PRICING SOURCE",$C$6,"FILL=B"),_xll.BDP(B40,$N$9,$M$9,M40,"PRICING SOURCE",$C$6,"FILL=B")),IF(OR(AD40="SINKABLE",AD40="CALL/SINK"),_xll.BDP(B40,$N$9,$Q$10,S40,$M$9,M40,"PRICING SOURCE",$C$6,"FILL=B"),_xll.BDP(B40,$N$9,$Q$9,S40,$M$9,M40,"PRICING SOURCE",$C$6,"FILL=B"))))</f>
        <v/>
      </c>
      <c r="O40" s="235"/>
      <c r="P40" s="236" t="str">
        <f t="shared" si="10"/>
        <v/>
      </c>
      <c r="Q40" s="166" t="str" cm="1">
        <f t="array" ref="Q40">IF(ISERROR((_xlfn.SINGLE(IF(OR(AD40="SINKABLE",AD40="CALL/SINK"),_xll.BDP($B40,$Q$10,"fill=b","PRICING_SOURCE",$C$6,$AC40,$N$9,$P40,$M$9,$M40),_xll.BDP($B40,Q$9,"fill=b","PRICING_SOURCE",$C$6,$AC40,$N$9,$P40,$M$9,$M40))))*1),"",IF(OR(AD40="SINKABLE",AD40="CALL/SINK"),_xll.BDP($B40,$Q$10,"fill=b","PRICING_SOURCE",$C$6,$AC40,$N$9,$P40,$M$9,$M40),_xll.BDP($B40,Q$9,"fill=b","PRICING_SOURCE",$C$6,$AC40,$N$9,$P40,$M$9,$M40)))</f>
        <v/>
      </c>
      <c r="R40" s="237"/>
      <c r="S40" s="238" t="str">
        <f t="shared" si="11"/>
        <v/>
      </c>
      <c r="T40" s="239" t="str" cm="1">
        <f t="array" ref="T40">IF(ISERROR((_xlfn.SINGLE(IF(OR(AD40="SINKABLE",AD40="CALL/SINK"),_xll.BDP($B40,$Q$10,"fill=b","PRICING_SOURCE",$C$6,$AC40,$M$9,$U40,"px ask",$AE40),_xll.BDP($B40,Q$9,"fill=b","PRICING_SOURCE",$C$6,$AC40,$M$9,$U40,"px ask",$AE40))))*1),"",IF(OR(AD40="SINKABLE",AD40="CALL/SINK"),_xll.BDP($B40,$Q$10,"fill=b","PRICING_SOURCE",$C$6,$AC40,$M$9,$U40,"px ask",$AE40),_xll.BDP($B40,Q$9,"fill=b","PRICING_SOURCE",$C$6,$AC40,$M$9,$U40,"px ask",$AE40)))</f>
        <v/>
      </c>
      <c r="U40" s="240" t="str">
        <f t="shared" si="0"/>
        <v>20130705</v>
      </c>
      <c r="V40" s="254" cm="1">
        <f t="array" ref="V40">IF(B40="","",IF(I40="BZDIOVRA Index",IF(OR(AD40="SINKABLE",AD40="CALL/SINK"),_xll.BDP($B40,"PX_ASK",$Q$10,J40,$M$9,M40),_xll.BDP($B40,"PX_"&amp;$H$7,$Q$9,J40,$M$9,M40)),_xll.BDP($B40,"PX_"&amp;$H$7,$Q$9,_xll.BDP(B40,"CPN"),$M$9,M40)))</f>
        <v>0</v>
      </c>
      <c r="W40" s="254" t="str">
        <f t="shared" si="1"/>
        <v/>
      </c>
      <c r="X40" s="166" t="str" cm="1">
        <f t="array" ref="X40">IF(B40="","",IF(OR(AD40="SINKABLE",AD40="CALL/SINK"),_xll.BDP($B40,X$9,"fill=b","PRICING_SOURCE",$C$6,$AC40,$M$9,$M40,$N$9,$P40,$Q$10,$S40),_xll.BDP($B40,X$9,"fill=b","PRICING_SOURCE",$C$6,$AC40,$M$9,$M40,$N$9,$P40,$Q$9,$S40)))</f>
        <v/>
      </c>
      <c r="Y40" s="166" t="str" cm="1">
        <f t="array" ref="Y40">IF(B40="","",IF(OR(AD40="SINKABLE",AD40="CALL/SINK"),_xll.BDP($B40,Y$9,"fill=b","PRICING_SOURCE",$C$6,$AC40,$M$9,$M40,$N$9,$P40,$Q$10,$S40),_xll.BDP($B40,Y$9,"fill=b","PRICING_SOURCE",$C$6,$AC40,$M$9,$M40,$N$9,$P40,$Q$9,$S40)))</f>
        <v/>
      </c>
      <c r="Z40" s="255" t="str" cm="1">
        <f t="array" ref="Z40">IF(B40="","",IF(OR(AD40="SINKABLE",AD40="CALL/SINK"),_xll.BDP($B40,Z$9,"fill=b","PRICING_SOURCE",$C$6,$AC40,$M$9,$M40,$N$9,$P40,$Q$10,$S40),_xll.BDP($B40,Z$9,"fill=b","PRICING_SOURCE",$C$6,$AC40,$M$9,$M40,$N$9,$P40,$Q$9,$S40)))</f>
        <v/>
      </c>
      <c r="AA40" s="166" t="str" cm="1">
        <f t="array" ref="AA40">IF(B40="","",IF(OR(AD40="SINKABLE",AD40="CALL/SINK"),_xll.BDP($B40,AA$9,"fill=b","PRICING_SOURCE",$C$6,$AC40,$M$9,$M40,$N$9,$P40,$Q$10,$S40),_xll.BDP($B40,AA$9,"fill=b","PRICING_SOURCE",$C$6,$AC40,$M$9,$M40,$N$9,$P40,$Q$9,$S40)))</f>
        <v/>
      </c>
      <c r="AB40" s="150" t="str" cm="1">
        <f t="array" ref="AB40">IF(B40="","",IF(LEFT(_xlfn.SINGLE(_xll.BDP($B40,AB$9,"fill=b")),1)="#","-",_xll.BDP($B40,AB$9,"fill=b")))</f>
        <v>6/15/2028</v>
      </c>
      <c r="AC40" s="150" t="str">
        <f t="shared" si="12"/>
        <v>YLD FLAG=28</v>
      </c>
      <c r="AD40" s="150" t="str" cm="1">
        <f t="array" ref="AD40">IF(B40="","",_xll.BDP($B40,AD$9,"fill=b"))</f>
        <v>SINKABLE</v>
      </c>
      <c r="AE40" s="256" cm="1">
        <f t="array" ref="AE40">IF(B40="","",IF(ISERROR(_xlfn.SINGLE(_xll.BDH(B40,"PX LAST",AN40,AN40,"DAYS=ALL","PRICING SOURCE",$C$6))*1),_xll.BDP(B40,"PAR AMT"),_xll.BDH(B40,"PX LAST",AN40,AN40,"DAYS=ALL","PRICING SOURCE",$C$6)))</f>
        <v>932.40000000000009</v>
      </c>
      <c r="AF40" s="150" cm="1">
        <f t="array" ref="AF40">IF(B40="","",_xll.BDP($B40,AF$9,"fill=b"))</f>
        <v>8</v>
      </c>
      <c r="AG40" s="150"/>
      <c r="AH40" s="190">
        <f>IF(B40="","",IF($AD40="AT MATURITY",$AB40*1,_xll.BADDPERIODS(_xll.BDP($B40,"issue dt"),"numberofperiods",TRUNC(_xll.BDP($B40,"YRS_TO_LONGEST_AVG_LIFE","YLD_YTM_BID",AF40,"SETTLE_DT",U40,AC40),0),"per=y")+(ROUND(MOD(_xll.BDP(B40,"YRS_TO_LONGEST_AVG_LIFE","YLD_YTM_BID",AF40,"SETTLE_DT",U40,AC40),1)*360,0))))</f>
        <v>41460</v>
      </c>
      <c r="AI40" s="150" t="e" cm="1">
        <f t="array" ref="AI40">IF(B40="","",AF40-_xll.BInterpol(_xll.BDP(_xll.BDS("YCGT0372 Index","curve members","CURVE_DATE", $U40,"endcol=1","array=true"),"maturity")*1,_xll.BDH(_xll.BDS("YCGT0372 Index","curve members","CURVE_DATE", $U40,"endcol=1","array=true"),"yld cnv mid",$U40,$U40,"days=all"),AH40,"CUBIC","Extrapolate=LINEAR","SKIP=TRUE","SORT=TRUE","MultiX=Average"))</f>
        <v>#VALUE!</v>
      </c>
      <c r="AJ40" s="189" t="str">
        <f t="shared" si="2"/>
        <v/>
      </c>
      <c r="AK40" s="257" t="str" cm="1">
        <f t="array" ref="AK40">IF(B40="","",_xll.BDP($B40,AK$9,"fill=b"))</f>
        <v>1.065MMM</v>
      </c>
      <c r="AL40" s="257" t="str" cm="1">
        <f t="array" ref="AL40">IF(B40="","",_xll.BDP($B40,AL$9,"fill=b"))</f>
        <v>993.006MM</v>
      </c>
      <c r="AM40" s="256" cm="1">
        <f t="array" ref="AM40">IF(B40="","",_xll.BDP($B40,AM$9,"fill=b"))</f>
        <v>932.40000000000009</v>
      </c>
      <c r="AN40" s="150" t="str" cm="1">
        <f t="array" ref="AN40">IF(B40="","",_xll.BDP($B40,AN$9,"fill=b"))</f>
        <v>7/5/2013</v>
      </c>
      <c r="AO40" s="150" t="str" cm="1">
        <f t="array" ref="AO40">IF(B40="","",IF(LEFT(_xlfn.SINGLE(_xll.BDP($B40,AO$9,"fill=b")),1)="#","-",_xll.BDP($B40,AO$9,"fill=b")))</f>
        <v>JOINT LEADS</v>
      </c>
      <c r="AP40" s="150" t="str" cm="1">
        <f t="array" ref="AP40">IF(B40="","",_xll.BDP($B40,AP$9,"fill=b"))</f>
        <v>Consumer, Non-cyclical</v>
      </c>
      <c r="AQ40" s="150" t="str" cm="1">
        <f t="array" ref="AQ40">IF(B40="","",_xll.BDP($B40,AQ$9,"fill=b"))</f>
        <v>Commercial Services</v>
      </c>
      <c r="AR40" s="150" t="str" cm="1">
        <f t="array" ref="AR40">IF(B40="","",_xll.BDP($B40,AR$9,"fill=b"))</f>
        <v/>
      </c>
      <c r="AS40" s="150" t="str" cm="1">
        <f t="array" ref="AS40">IF(B40="","",_xll.BDP($B40,AS$9,"fill=b"))</f>
        <v>WR</v>
      </c>
      <c r="AT40" s="150" t="str" cm="1">
        <f t="array" ref="AT40">IF(B40="","",_xll.BDP($B40,AT$9,"fill=b"))</f>
        <v/>
      </c>
      <c r="AU40" s="258" t="str" cm="1">
        <f t="array" ref="AU40">IF(B40="","",_xll.BDP($B40,AU$9,"fill=b"))</f>
        <v>CPN = BZCLVLUE INDEX + 800 BPS. ISSUED UNDER LAW 12.431.</v>
      </c>
    </row>
    <row r="41" spans="2:47" ht="15" x14ac:dyDescent="0.25">
      <c r="B41" s="232" t="s">
        <v>338</v>
      </c>
      <c r="C41" s="150" t="str" cm="1">
        <f t="array" ref="C41">IF(B41="","",_xll.BDP($B41,C$9,"fill=b"))</f>
        <v>LRNE15</v>
      </c>
      <c r="D41" s="150" t="str" cm="1">
        <f t="array" ref="D41">IF(B41="","",_xll.BDP($B41,D$9,"fill=b"))</f>
        <v>LRENSA Float 06/15/18</v>
      </c>
      <c r="E41" s="150" t="str" cm="1">
        <f t="array" ref="E41">IF(B41="","",_xll.BDP($B41,E$9,"fill=b"))</f>
        <v>LOJAS RENNER SA</v>
      </c>
      <c r="F41" s="150" t="str" cm="1">
        <f t="array" ref="F41">IF(B41="","",IF(LEFT(_xlfn.SINGLE(_xll.BDP($B41,F$9,"fill=b")),1)="#","-",_xll.BDP($B41,F$9,"fill=b")))</f>
        <v>LREN3 BZ</v>
      </c>
      <c r="G41" s="150" t="str" cm="1">
        <f t="array" ref="G41">IF(B41="","",_xll.BDP($B41,G$9,"fill=b"))</f>
        <v>BRAZIL DI+SPREAD</v>
      </c>
      <c r="H41" s="150" t="str" cm="1">
        <f t="array" ref="H41">IF(B41="","",_xll.BDP($B41,H$9,"fill=b"))</f>
        <v>OVRA BZDI +97.000</v>
      </c>
      <c r="I41" s="150" t="str" cm="1">
        <f t="array" ref="I41">IF(LEFT(_xlfn.SINGLE(_xll.BDP(B41,"REFERENCE_INDEX")),1)="#",IF(LEFT(_xlfn.SINGLE(_xll.BDP(B41, "RESET_IDX"))&amp;" Index",1)="#","",_xlfn.SINGLE(_xll.BDP(B41, "RESET_IDX"))&amp;" Index"),_xll.BDP(B41,"REFERENCE_INDEX"))</f>
        <v>BZDIOVRA Index</v>
      </c>
      <c r="J41" s="150" cm="1">
        <f t="array" ref="J41">IF(I41="BZDIOVRA Index",IF(_xlfn.SINGLE(_xll.BDP(B41,"FLT_SPREAD"))/100=0,_xll.BDP(B41,"FLT_BENCH_MULTIPLIER"),_xlfn.SINGLE(_xll.BDP(B41,"FLT_SPREAD"))/100),"")</f>
        <v>0.97</v>
      </c>
      <c r="K41" s="150" t="str" cm="1">
        <f t="array" ref="K41">IF(B41="","",IF(LEFT(_xlfn.SINGLE(_xll.BDP($B41,K$9,"fill=b")),1)="#","-",_xll.BDP($B41,K$9,"fill=b")))</f>
        <v>-</v>
      </c>
      <c r="L41" s="233"/>
      <c r="M41" s="234" t="e">
        <f t="shared" si="3"/>
        <v>#VALUE!</v>
      </c>
      <c r="N41" s="252" t="e">
        <f>IF(B41="","",IF(R41="",IF(OR(AD41="SINKABLE",AD41="CALL/SINK"),_xll.BDP(B41,$N$9,$M$9,M41,"PRICING SOURCE",$C$6,"FILL=B"),_xll.BDP(B41,$N$9,$M$9,M41,"PRICING SOURCE",$C$6,"FILL=B")),IF(OR(AD41="SINKABLE",AD41="CALL/SINK"),_xll.BDP(B41,$N$9,$Q$10,S41,$M$9,M41,"PRICING SOURCE",$C$6,"FILL=B"),_xll.BDP(B41,$N$9,$Q$9,S41,$M$9,M41,"PRICING SOURCE",$C$6,"FILL=B"))))</f>
        <v>#VALUE!</v>
      </c>
      <c r="O41" s="235"/>
      <c r="P41" s="236" t="e">
        <f t="shared" si="10"/>
        <v>#VALUE!</v>
      </c>
      <c r="Q41" s="166" t="str">
        <f>IF(ISERROR((IF(OR(AD41="SINKABLE",AD41="CALL/SINK"),_xll.BDP($B41,$Q$10,"fill=b","PRICING_SOURCE",$C$6,$AC41,$N$9,$P41,$M$9,$M41),_xll.BDP($B41,Q$9,"fill=b","PRICING_SOURCE",$C$6,$AC41,$N$9,$P41,$M$9,$M41)))*1),"",IF(OR(AD41="SINKABLE",AD41="CALL/SINK"),_xll.BDP($B41,$Q$10,"fill=b","PRICING_SOURCE",$C$6,$AC41,$N$9,$P41,$M$9,$M41),_xll.BDP($B41,Q$9,"fill=b","PRICING_SOURCE",$C$6,$AC41,$N$9,$P41,$M$9,$M41)))</f>
        <v/>
      </c>
      <c r="R41" s="237"/>
      <c r="S41" s="238" t="str">
        <f t="shared" si="11"/>
        <v/>
      </c>
      <c r="T41" s="239" cm="1">
        <f t="array" ref="T41">IF(ISERROR((_xlfn.SINGLE(IF(OR(AD41="SINKABLE",AD41="CALL/SINK"),_xll.BDP($B41,$Q$10,"fill=b","PRICING_SOURCE",$C$6,$AC41,$M$9,$U41,"px ask",$AE41),_xll.BDP($B41,Q$9,"fill=b","PRICING_SOURCE",$C$6,$AC41,$M$9,$U41,"px ask",$AE41))))*1),"",IF(OR(AD41="SINKABLE",AD41="CALL/SINK"),_xll.BDP($B41,$Q$10,"fill=b","PRICING_SOURCE",$C$6,$AC41,$M$9,$U41,"px ask",$AE41),_xll.BDP($B41,Q$9,"fill=b","PRICING_SOURCE",$C$6,$AC41,$M$9,$U41,"px ask",$AE41)))</f>
        <v>36.522691633285966</v>
      </c>
      <c r="U41" s="240" t="str">
        <f t="shared" si="0"/>
        <v>20120615</v>
      </c>
      <c r="V41" s="254" t="e" cm="1">
        <f t="array" ref="V41">IF(B41="","",IF(I41="BZDIOVRA Index",IF(OR(AD41="SINKABLE",AD41="CALL/SINK"),_xll.BDP($B41,"PX_ASK",$Q$10,J41,$M$9,M41),_xll.BDP($B41,"PX_"&amp;$H$7,$Q$9,J41,$M$9,M41)),_xll.BDP($B41,"PX_"&amp;$H$7,$Q$9,_xll.BDP(B41,"CPN"),$M$9,M41)))</f>
        <v>#VALUE!</v>
      </c>
      <c r="W41" s="254" t="str">
        <f t="shared" si="1"/>
        <v/>
      </c>
      <c r="X41" s="166" t="e">
        <f>IF(B41="","",IF(OR(AD41="SINKABLE",AD41="CALL/SINK"),_xll.BDP($B41,X$9,"fill=b","PRICING_SOURCE",$C$6,$AC41,$M$9,$M41,$N$9,$P41,$Q$10,$S41),_xll.BDP($B41,X$9,"fill=b","PRICING_SOURCE",$C$6,$AC41,$M$9,$M41,$N$9,$P41,$Q$9,$S41)))</f>
        <v>#VALUE!</v>
      </c>
      <c r="Y41" s="166" t="e">
        <f>IF(B41="","",IF(OR(AD41="SINKABLE",AD41="CALL/SINK"),_xll.BDP($B41,Y$9,"fill=b","PRICING_SOURCE",$C$6,$AC41,$M$9,$M41,$N$9,$P41,$Q$10,$S41),_xll.BDP($B41,Y$9,"fill=b","PRICING_SOURCE",$C$6,$AC41,$M$9,$M41,$N$9,$P41,$Q$9,$S41)))</f>
        <v>#VALUE!</v>
      </c>
      <c r="Z41" s="255" t="e">
        <f>IF(B41="","",IF(OR(AD41="SINKABLE",AD41="CALL/SINK"),_xll.BDP($B41,Z$9,"fill=b","PRICING_SOURCE",$C$6,$AC41,$M$9,$M41,$N$9,$P41,$Q$10,$S41),_xll.BDP($B41,Z$9,"fill=b","PRICING_SOURCE",$C$6,$AC41,$M$9,$M41,$N$9,$P41,$Q$9,$S41)))</f>
        <v>#VALUE!</v>
      </c>
      <c r="AA41" s="166" t="e">
        <f>IF(B41="","",IF(OR(AD41="SINKABLE",AD41="CALL/SINK"),_xll.BDP($B41,AA$9,"fill=b","PRICING_SOURCE",$C$6,$AC41,$M$9,$M41,$N$9,$P41,$Q$10,$S41),_xll.BDP($B41,AA$9,"fill=b","PRICING_SOURCE",$C$6,$AC41,$M$9,$M41,$N$9,$P41,$Q$9,$S41)))</f>
        <v>#VALUE!</v>
      </c>
      <c r="AB41" s="150" t="str" cm="1">
        <f t="array" ref="AB41">IF(B41="","",IF(LEFT(_xlfn.SINGLE(_xll.BDP($B41,AB$9,"fill=b")),1)="#","-",_xll.BDP($B41,AB$9,"fill=b")))</f>
        <v>6/15/2018</v>
      </c>
      <c r="AC41" s="150" t="str">
        <f t="shared" si="12"/>
        <v>YLD FLAG=28</v>
      </c>
      <c r="AD41" s="150" t="str" cm="1">
        <f t="array" ref="AD41">IF(B41="","",_xll.BDP($B41,AD$9,"fill=b"))</f>
        <v>SINKABLE</v>
      </c>
      <c r="AE41" s="256" cm="1">
        <f t="array" ref="AE41">IF(B41="","",IF(ISERROR(_xlfn.SINGLE(_xll.BDH(B41,"PX LAST",AN41,AN41,"DAYS=ALL","PRICING SOURCE",$C$6))*1),_xll.BDP(B41,"PAR AMT"),_xll.BDH(B41,"PX LAST",AN41,AN41,"DAYS=ALL","PRICING SOURCE",$C$6)))</f>
        <v>3333.34</v>
      </c>
      <c r="AF41" s="150" cm="1">
        <f t="array" ref="AF41">IF(B41="","",_xll.BDP($B41,AF$9,"fill=b"))</f>
        <v>3.6546356807299998</v>
      </c>
      <c r="AG41" s="150"/>
      <c r="AH41" s="190">
        <f>IF(B41="","",IF($AD41="AT MATURITY",$AB41*1,_xll.BADDPERIODS(_xll.BDP($B41,"issue dt"),"numberofperiods",TRUNC(_xll.BDP($B41,"YRS_TO_LONGEST_AVG_LIFE","YLD_YTM_BID",AF41,"SETTLE_DT",U41,AC41),0),"per=y")+(ROUND(MOD(_xll.BDP(B41,"YRS_TO_LONGEST_AVG_LIFE","YLD_YTM_BID",AF41,"SETTLE_DT",U41,AC41),1)*360,0))))</f>
        <v>42902</v>
      </c>
      <c r="AI41" s="150" t="e">
        <f t="array" ref="AI41">IF(B41="","",AF41-_xll.BInterpol(_xll.BDP(_xll.BDS("YCGT0372 Index","curve members","CURVE_DATE", $U41,"endcol=1","array=true"),"maturity")*1,_xll.BDH(_xll.BDS("YCGT0372 Index","curve members","CURVE_DATE", $U41,"endcol=1","array=true"),"yld cnv mid",$U41,$U41,"days=all"),AH41,"CUBIC","Extrapolate=LINEAR","SKIP=TRUE","SORT=TRUE","MultiX=Average"))</f>
        <v>#VALUE!</v>
      </c>
      <c r="AJ41" s="189">
        <f t="shared" si="2"/>
        <v>0.97</v>
      </c>
      <c r="AK41" s="257" t="str" cm="1">
        <f t="array" ref="AK41">IF(B41="","",_xll.BDP($B41,AK$9,"fill=b"))</f>
        <v>220MM</v>
      </c>
      <c r="AL41" s="257" t="str" cm="1">
        <f t="array" ref="AL41">IF(B41="","",_xll.BDP($B41,AL$9,"fill=b"))</f>
        <v>0</v>
      </c>
      <c r="AM41" s="256" cm="1">
        <f t="array" ref="AM41">IF(B41="","",_xll.BDP($B41,AM$9,"fill=b"))</f>
        <v>3333.34</v>
      </c>
      <c r="AN41" s="150" t="str" cm="1">
        <f t="array" ref="AN41">IF(B41="","",_xll.BDP($B41,AN$9,"fill=b"))</f>
        <v>6/15/2012</v>
      </c>
      <c r="AO41" s="150" t="str" cm="1">
        <f t="array" ref="AO41">IF(B41="","",IF(LEFT(_xlfn.SINGLE(_xll.BDP($B41,AO$9,"fill=b")),1)="#","-",_xll.BDP($B41,AO$9,"fill=b")))</f>
        <v>ITABBA,HSBC</v>
      </c>
      <c r="AP41" s="150" t="str" cm="1">
        <f t="array" ref="AP41">IF(B41="","",_xll.BDP($B41,AP$9,"fill=b"))</f>
        <v>Consumer, Cyclical</v>
      </c>
      <c r="AQ41" s="150" t="str" cm="1">
        <f t="array" ref="AQ41">IF(B41="","",_xll.BDP($B41,AQ$9,"fill=b"))</f>
        <v>Retail</v>
      </c>
      <c r="AR41" s="150" t="str" cm="1">
        <f t="array" ref="AR41">IF(B41="","",_xll.BDP($B41,AR$9,"fill=b"))</f>
        <v>brAAA</v>
      </c>
      <c r="AS41" s="150" t="str" cm="1">
        <f t="array" ref="AS41">IF(B41="","",_xll.BDP($B41,AS$9,"fill=b"))</f>
        <v/>
      </c>
      <c r="AT41" s="150" t="str" cm="1">
        <f t="array" ref="AT41">IF(B41="","",_xll.BDP($B41,AT$9,"fill=b"))</f>
        <v/>
      </c>
      <c r="AU41" s="258" t="str" cm="1">
        <f t="array" ref="AU41">IF(B41="","",_xll.BDP($B41,AU$9,"fill=b"))</f>
        <v>CPN = BZDIOVRA INDEX + 97BPS.</v>
      </c>
    </row>
    <row r="42" spans="2:47" ht="15" x14ac:dyDescent="0.25">
      <c r="B42" s="232" t="s">
        <v>281</v>
      </c>
      <c r="C42" s="150" t="str" cm="1">
        <f t="array" ref="C42">IF(B42="","",_xll.BDP($B42,C$9,"fill=b"))</f>
        <v>LRNE25</v>
      </c>
      <c r="D42" s="150" t="str" cm="1">
        <f t="array" ref="D42">IF(B42="","",_xll.BDP($B42,D$9,"fill=b"))</f>
        <v>LRENSA 5.7 06/15/19</v>
      </c>
      <c r="E42" s="150" t="str" cm="1">
        <f t="array" ref="E42">IF(B42="","",_xll.BDP($B42,E$9,"fill=b"))</f>
        <v>LOJAS RENNER SA</v>
      </c>
      <c r="F42" s="150" t="str" cm="1">
        <f t="array" ref="F42">IF(B42="","",IF(LEFT(_xlfn.SINGLE(_xll.BDP($B42,F$9,"fill=b")),1)="#","-",_xll.BDP($B42,F$9,"fill=b")))</f>
        <v>LREN3 BZ</v>
      </c>
      <c r="G42" s="150" t="str" cm="1">
        <f t="array" ref="G42">IF(B42="","",_xll.BDP($B42,G$9,"fill=b"))</f>
        <v>BRAZIL IPCA+SPREAD</v>
      </c>
      <c r="H42" s="150" t="str" cm="1">
        <f t="array" ref="H42">IF(B42="","",_xll.BDP($B42,H$9,"fill=b"))</f>
        <v/>
      </c>
      <c r="I42" s="150" t="str" cm="1">
        <f t="array" ref="I42">IF(LEFT(_xlfn.SINGLE(_xll.BDP(B42,"REFERENCE_INDEX")),1)="#",IF(LEFT(_xlfn.SINGLE(_xll.BDP(B42, "RESET_IDX"))&amp;" Index",1)="#","",_xlfn.SINGLE(_xll.BDP(B42, "RESET_IDX"))&amp;" Index"),_xll.BDP(B42,"REFERENCE_INDEX"))</f>
        <v>BZCLVLUE Index</v>
      </c>
      <c r="J42" s="150" t="str">
        <f>IF(I42="BZDIOVRA Index",IF(_xll.BDP(B42,"FLT_SPREAD")/100=0,_xll.BDP(B42,"FLT_BENCH_MULTIPLIER"),_xll.BDP(B42,"FLT_SPREAD")/100),"")</f>
        <v/>
      </c>
      <c r="K42" s="150" t="str" cm="1">
        <f t="array" ref="K42">IF(B42="","",IF(LEFT(_xlfn.SINGLE(_xll.BDP($B42,K$9,"fill=b")),1)="#","-",_xll.BDP($B42,K$9,"fill=b")))</f>
        <v>-</v>
      </c>
      <c r="L42" s="233"/>
      <c r="M42" s="234" t="e">
        <f t="shared" si="3"/>
        <v>#VALUE!</v>
      </c>
      <c r="N42" s="252" t="e">
        <f>IF(B42="","",IF(R42="",IF(OR(AD42="SINKABLE",AD42="CALL/SINK"),_xll.BDP(B42,$N$9,$M$9,M42,"PRICING SOURCE",$C$6,"FILL=B"),_xll.BDP(B42,$N$9,$M$9,M42,"PRICING SOURCE",$C$6,"FILL=B")),IF(OR(AD42="SINKABLE",AD42="CALL/SINK"),_xll.BDP(B42,$N$9,$Q$10,S42,$M$9,M42,"PRICING SOURCE",$C$6,"FILL=B"),_xll.BDP(B42,$N$9,$Q$9,S42,$M$9,M42,"PRICING SOURCE",$C$6,"FILL=B"))))</f>
        <v>#VALUE!</v>
      </c>
      <c r="O42" s="235"/>
      <c r="P42" s="236" t="e">
        <f t="shared" si="10"/>
        <v>#VALUE!</v>
      </c>
      <c r="Q42" s="166" t="str">
        <f>IF(ISERROR((IF(OR(AD42="SINKABLE",AD42="CALL/SINK"),_xll.BDP($B42,$Q$10,"fill=b","PRICING_SOURCE",$C$6,$AC42,$N$9,$P42,$M$9,$M42),_xll.BDP($B42,Q$9,"fill=b","PRICING_SOURCE",$C$6,$AC42,$N$9,$P42,$M$9,$M42)))*1),"",IF(OR(AD42="SINKABLE",AD42="CALL/SINK"),_xll.BDP($B42,$Q$10,"fill=b","PRICING_SOURCE",$C$6,$AC42,$N$9,$P42,$M$9,$M42),_xll.BDP($B42,Q$9,"fill=b","PRICING_SOURCE",$C$6,$AC42,$N$9,$P42,$M$9,$M42)))</f>
        <v/>
      </c>
      <c r="R42" s="237"/>
      <c r="S42" s="238" t="str">
        <f t="shared" si="11"/>
        <v/>
      </c>
      <c r="T42" s="239" cm="1">
        <f t="array" ref="T42">IF(ISERROR((_xlfn.SINGLE(IF(OR(AD42="SINKABLE",AD42="CALL/SINK"),_xll.BDP($B42,$Q$10,"fill=b","PRICING_SOURCE",$C$6,$AC42,$M$9,$U42,"px ask",$AE42),_xll.BDP($B42,Q$9,"fill=b","PRICING_SOURCE",$C$6,$AC42,$M$9,$U42,"px ask",$AE42))))*1),"",IF(OR(AD42="SINKABLE",AD42="CALL/SINK"),_xll.BDP($B42,$Q$10,"fill=b","PRICING_SOURCE",$C$6,$AC42,$M$9,$U42,"px ask",$AE42),_xll.BDP($B42,Q$9,"fill=b","PRICING_SOURCE",$C$6,$AC42,$M$9,$U42,"px ask",$AE42)))</f>
        <v>81.348062565673033</v>
      </c>
      <c r="U42" s="240" t="str">
        <f t="shared" si="0"/>
        <v>20120615</v>
      </c>
      <c r="V42" s="254" t="e" cm="1">
        <f t="array" ref="V42">IF(B42="","",IF(I42="BZDIOVRA Index",IF(OR(AD42="SINKABLE",AD42="CALL/SINK"),_xll.BDP($B42,"PX_ASK",$Q$10,J42,$M$9,M42),_xll.BDP($B42,"PX_"&amp;$H$7,$Q$9,J42,$M$9,M42)),_xll.BDP($B42,"PX_"&amp;$H$7,$Q$9,_xll.BDP(B42,"CPN"),$M$9,M42)))</f>
        <v>#VALUE!</v>
      </c>
      <c r="W42" s="254" t="str">
        <f t="shared" si="1"/>
        <v/>
      </c>
      <c r="X42" s="166" t="e">
        <f>IF(B42="","",IF(OR(AD42="SINKABLE",AD42="CALL/SINK"),_xll.BDP($B42,X$9,"fill=b","PRICING_SOURCE",$C$6,$AC42,$M$9,$M42,$N$9,$P42,$Q$10,$S42),_xll.BDP($B42,X$9,"fill=b","PRICING_SOURCE",$C$6,$AC42,$M$9,$M42,$N$9,$P42,$Q$9,$S42)))</f>
        <v>#VALUE!</v>
      </c>
      <c r="Y42" s="166" t="e">
        <f>IF(B42="","",IF(OR(AD42="SINKABLE",AD42="CALL/SINK"),_xll.BDP($B42,Y$9,"fill=b","PRICING_SOURCE",$C$6,$AC42,$M$9,$M42,$N$9,$P42,$Q$10,$S42),_xll.BDP($B42,Y$9,"fill=b","PRICING_SOURCE",$C$6,$AC42,$M$9,$M42,$N$9,$P42,$Q$9,$S42)))</f>
        <v>#VALUE!</v>
      </c>
      <c r="Z42" s="255" t="e">
        <f>IF(B42="","",IF(OR(AD42="SINKABLE",AD42="CALL/SINK"),_xll.BDP($B42,Z$9,"fill=b","PRICING_SOURCE",$C$6,$AC42,$M$9,$M42,$N$9,$P42,$Q$10,$S42),_xll.BDP($B42,Z$9,"fill=b","PRICING_SOURCE",$C$6,$AC42,$M$9,$M42,$N$9,$P42,$Q$9,$S42)))</f>
        <v>#VALUE!</v>
      </c>
      <c r="AA42" s="166" t="e">
        <f>IF(B42="","",IF(OR(AD42="SINKABLE",AD42="CALL/SINK"),_xll.BDP($B42,AA$9,"fill=b","PRICING_SOURCE",$C$6,$AC42,$M$9,$M42,$N$9,$P42,$Q$10,$S42),_xll.BDP($B42,AA$9,"fill=b","PRICING_SOURCE",$C$6,$AC42,$M$9,$M42,$N$9,$P42,$Q$9,$S42)))</f>
        <v>#VALUE!</v>
      </c>
      <c r="AB42" s="150" t="str" cm="1">
        <f t="array" ref="AB42">IF(B42="","",IF(LEFT(_xlfn.SINGLE(_xll.BDP($B42,AB$9,"fill=b")),1)="#","-",_xll.BDP($B42,AB$9,"fill=b")))</f>
        <v>6/15/2019</v>
      </c>
      <c r="AC42" s="150" t="str">
        <f t="shared" si="12"/>
        <v>YLD FLAG=28</v>
      </c>
      <c r="AD42" s="150" t="str" cm="1">
        <f t="array" ref="AD42">IF(B42="","",_xll.BDP($B42,AD$9,"fill=b"))</f>
        <v>SINKABLE</v>
      </c>
      <c r="AE42" s="256" cm="1">
        <f t="array" ref="AE42">IF(B42="","",IF(ISERROR(_xlfn.SINGLE(_xll.BDH(B42,"PX LAST",AN42,AN42,"DAYS=ALL","PRICING SOURCE",$C$6))*1),_xll.BDP(B42,"PAR AMT"),_xll.BDH(B42,"PX LAST",AN42,AN42,"DAYS=ALL","PRICING SOURCE",$C$6)))</f>
        <v>3333.34</v>
      </c>
      <c r="AF42" s="150" cm="1">
        <f t="array" ref="AF42">IF(B42="","",_xll.BDP($B42,AF$9,"fill=b"))</f>
        <v>5.7</v>
      </c>
      <c r="AG42" s="150"/>
      <c r="AH42" s="190" t="e">
        <f>IF(B42="","",IF($AD42="AT MATURITY",$AB42*1,_xll.BADDPERIODS(_xll.BDP($B42,"issue dt"),"numberofperiods",TRUNC(_xll.BDP($B42,"YRS_TO_LONGEST_AVG_LIFE","YLD_YTM_BID",AF42,"SETTLE_DT",U42,AC42),0),"per=y")+(ROUND(MOD(_xll.BDP(B42,"YRS_TO_LONGEST_AVG_LIFE","YLD_YTM_BID",AF42,"SETTLE_DT",U42,AC42),1)*360,0))))</f>
        <v>#VALUE!</v>
      </c>
      <c r="AI42" s="150" t="e">
        <f t="array" ref="AI42">IF(B42="","",AF42-_xll.BInterpol(_xll.BDP(_xll.BDS("YCGT0372 Index","curve members","CURVE_DATE", $U42,"endcol=1","array=true"),"maturity")*1,_xll.BDH(_xll.BDS("YCGT0372 Index","curve members","CURVE_DATE", $U42,"endcol=1","array=true"),"yld cnv mid",$U42,$U42,"days=all"),AH42,"CUBIC","Extrapolate=LINEAR","SKIP=TRUE","SORT=TRUE","MultiX=Average"))</f>
        <v>#VALUE!</v>
      </c>
      <c r="AJ42" s="189" t="str">
        <f t="shared" si="2"/>
        <v/>
      </c>
      <c r="AK42" s="257" t="str" cm="1">
        <f t="array" ref="AK42">IF(B42="","",_xll.BDP($B42,AK$9,"fill=b"))</f>
        <v>80MM</v>
      </c>
      <c r="AL42" s="257" t="str" cm="1">
        <f t="array" ref="AL42">IF(B42="","",_xll.BDP($B42,AL$9,"fill=b"))</f>
        <v>0</v>
      </c>
      <c r="AM42" s="256" cm="1">
        <f t="array" ref="AM42">IF(B42="","",_xll.BDP($B42,AM$9,"fill=b"))</f>
        <v>3333.34</v>
      </c>
      <c r="AN42" s="150" t="str" cm="1">
        <f t="array" ref="AN42">IF(B42="","",_xll.BDP($B42,AN$9,"fill=b"))</f>
        <v>6/15/2012</v>
      </c>
      <c r="AO42" s="150" t="str" cm="1">
        <f t="array" ref="AO42">IF(B42="","",IF(LEFT(_xlfn.SINGLE(_xll.BDP($B42,AO$9,"fill=b")),1)="#","-",_xll.BDP($B42,AO$9,"fill=b")))</f>
        <v>ITABBA,HSBC</v>
      </c>
      <c r="AP42" s="150" t="str" cm="1">
        <f t="array" ref="AP42">IF(B42="","",_xll.BDP($B42,AP$9,"fill=b"))</f>
        <v>Consumer, Cyclical</v>
      </c>
      <c r="AQ42" s="150" t="str" cm="1">
        <f t="array" ref="AQ42">IF(B42="","",_xll.BDP($B42,AQ$9,"fill=b"))</f>
        <v>Retail</v>
      </c>
      <c r="AR42" s="150" t="str" cm="1">
        <f t="array" ref="AR42">IF(B42="","",_xll.BDP($B42,AR$9,"fill=b"))</f>
        <v>NR</v>
      </c>
      <c r="AS42" s="150" t="str" cm="1">
        <f t="array" ref="AS42">IF(B42="","",_xll.BDP($B42,AS$9,"fill=b"))</f>
        <v/>
      </c>
      <c r="AT42" s="150" t="str" cm="1">
        <f t="array" ref="AT42">IF(B42="","",_xll.BDP($B42,AT$9,"fill=b"))</f>
        <v/>
      </c>
      <c r="AU42" s="258" t="str" cm="1">
        <f t="array" ref="AU42">IF(B42="","",_xll.BDP($B42,AU$9,"fill=b"))</f>
        <v>RDMPTN &amp; CPN PYMT LINKED TO IPCA + 570BPS.</v>
      </c>
    </row>
    <row r="43" spans="2:47" ht="15" x14ac:dyDescent="0.25">
      <c r="B43" s="232" t="s">
        <v>327</v>
      </c>
      <c r="C43" s="150" t="str" cm="1">
        <f t="array" ref="C43">IF(B43="","",_xll.BDP($B43,C$9,"fill=b"))</f>
        <v>MRSS15</v>
      </c>
      <c r="D43" s="150" t="str" cm="1">
        <f t="array" ref="D43">IF(B43="","",_xll.BDP($B43,D$9,"fill=b"))</f>
        <v>MRSLOG Float 07/18/18</v>
      </c>
      <c r="E43" s="150" t="str" cm="1">
        <f t="array" ref="E43">IF(B43="","",_xll.BDP($B43,E$9,"fill=b"))</f>
        <v>MRS LOGISTICA SA</v>
      </c>
      <c r="F43" s="150" t="str" cm="1">
        <f t="array" ref="F43">IF(B43="","",IF(LEFT(_xlfn.SINGLE(_xll.BDP($B43,F$9,"fill=b")),1)="#","-",_xll.BDP($B43,F$9,"fill=b")))</f>
        <v>MRSA5B BZ</v>
      </c>
      <c r="G43" s="150" t="str" cm="1">
        <f t="array" ref="G43">IF(B43="","",_xll.BDP($B43,G$9,"fill=b"))</f>
        <v>BRAZIL DI+SPREAD</v>
      </c>
      <c r="H43" s="150" t="str" cm="1">
        <f t="array" ref="H43">IF(B43="","",_xll.BDP($B43,H$9,"fill=b"))</f>
        <v>OVRA BZDI +250.000</v>
      </c>
      <c r="I43" s="150" t="str" cm="1">
        <f t="array" ref="I43">IF(LEFT(_xlfn.SINGLE(_xll.BDP(B43,"REFERENCE_INDEX")),1)="#",IF(LEFT(_xlfn.SINGLE(_xll.BDP(B43, "RESET_IDX"))&amp;" Index",1)="#","",_xlfn.SINGLE(_xll.BDP(B43, "RESET_IDX"))&amp;" Index"),_xll.BDP(B43,"REFERENCE_INDEX"))</f>
        <v>BZDIOVRA Index</v>
      </c>
      <c r="J43" s="150" cm="1">
        <f t="array" ref="J43">IF(I43="BZDIOVRA Index",IF(_xlfn.SINGLE(_xll.BDP(B43,"FLT_SPREAD"))/100=0,_xll.BDP(B43,"FLT_BENCH_MULTIPLIER"),_xlfn.SINGLE(_xll.BDP(B43,"FLT_SPREAD"))/100),"")</f>
        <v>2.5</v>
      </c>
      <c r="K43" s="150" t="str" cm="1">
        <f t="array" ref="K43">IF(B43="","",IF(LEFT(_xlfn.SINGLE(_xll.BDP($B43,K$9,"fill=b")),1)="#","-",_xll.BDP($B43,K$9,"fill=b")))</f>
        <v>-</v>
      </c>
      <c r="L43" s="233"/>
      <c r="M43" s="234" t="e">
        <f t="shared" si="3"/>
        <v>#VALUE!</v>
      </c>
      <c r="N43" s="252" t="e">
        <f>IF(B43="","",IF(R43="",IF(OR(AD43="SINKABLE",AD43="CALL/SINK"),_xll.BDP(B43,$N$9,$M$9,M43,"PRICING SOURCE",$C$6,"FILL=B"),_xll.BDP(B43,$N$9,$M$9,M43,"PRICING SOURCE",$C$6,"FILL=B")),IF(OR(AD43="SINKABLE",AD43="CALL/SINK"),_xll.BDP(B43,$N$9,$Q$10,S43,$M$9,M43,"PRICING SOURCE",$C$6,"FILL=B"),_xll.BDP(B43,$N$9,$Q$9,S43,$M$9,M43,"PRICING SOURCE",$C$6,"FILL=B"))))</f>
        <v>#VALUE!</v>
      </c>
      <c r="O43" s="235"/>
      <c r="P43" s="236" t="e">
        <f t="shared" si="10"/>
        <v>#VALUE!</v>
      </c>
      <c r="Q43" s="166" t="str">
        <f>IF(ISERROR((IF(OR(AD43="SINKABLE",AD43="CALL/SINK"),_xll.BDP($B43,$Q$10,"fill=b","PRICING_SOURCE",$C$6,$AC43,$N$9,$P43,$M$9,$M43),_xll.BDP($B43,Q$9,"fill=b","PRICING_SOURCE",$C$6,$AC43,$N$9,$P43,$M$9,$M43)))*1),"",IF(OR(AD43="SINKABLE",AD43="CALL/SINK"),_xll.BDP($B43,$Q$10,"fill=b","PRICING_SOURCE",$C$6,$AC43,$N$9,$P43,$M$9,$M43),_xll.BDP($B43,Q$9,"fill=b","PRICING_SOURCE",$C$6,$AC43,$N$9,$P43,$M$9,$M43)))</f>
        <v/>
      </c>
      <c r="R43" s="237"/>
      <c r="S43" s="238" t="str">
        <f t="shared" si="11"/>
        <v/>
      </c>
      <c r="T43" s="239" cm="1">
        <f t="array" ref="T43">IF(ISERROR((_xlfn.SINGLE(IF(OR(AD43="SINKABLE",AD43="CALL/SINK"),_xll.BDP($B43,$Q$10,"fill=b","PRICING_SOURCE",$C$6,$AC43,$M$9,$U43,"px ask",$AE43),_xll.BDP($B43,Q$9,"fill=b","PRICING_SOURCE",$C$6,$AC43,$M$9,$U43,"px ask",$AE43))))*1),"",IF(OR(AD43="SINKABLE",AD43="CALL/SINK"),_xll.BDP($B43,$Q$10,"fill=b","PRICING_SOURCE",$C$6,$AC43,$M$9,$U43,"px ask",$AE43),_xll.BDP($B43,Q$9,"fill=b","PRICING_SOURCE",$C$6,$AC43,$M$9,$U43,"px ask",$AE43)))</f>
        <v>40.475484672606441</v>
      </c>
      <c r="U43" s="240" t="str">
        <f t="shared" ref="U43:U74" si="13">IF(B43="","",IF(AG43="",TEXT(YEAR(AN43)*10000+MONTH(AN43)*100+DAY(AN43),"00000000"),TEXT(YEAR(AG43)*10000+MONTH(AG43)*100+DAY(AG43),"00000000")))</f>
        <v>20120718</v>
      </c>
      <c r="V43" s="254" t="e" cm="1">
        <f t="array" ref="V43">IF(B43="","",IF(I43="BZDIOVRA Index",IF(OR(AD43="SINKABLE",AD43="CALL/SINK"),_xll.BDP($B43,"PX_ASK",$Q$10,J43,$M$9,M43),_xll.BDP($B43,"PX_"&amp;$H$7,$Q$9,J43,$M$9,M43)),_xll.BDP($B43,"PX_"&amp;$H$7,$Q$9,_xll.BDP(B43,"CPN"),$M$9,M43)))</f>
        <v>#VALUE!</v>
      </c>
      <c r="W43" s="254" t="str">
        <f t="shared" ref="W43:W74" si="14">IF(ISERROR(P43/V43*100),"",P43/V43*100)</f>
        <v/>
      </c>
      <c r="X43" s="166" t="e">
        <f>IF(B43="","",IF(OR(AD43="SINKABLE",AD43="CALL/SINK"),_xll.BDP($B43,X$9,"fill=b","PRICING_SOURCE",$C$6,$AC43,$M$9,$M43,$N$9,$P43,$Q$10,$S43),_xll.BDP($B43,X$9,"fill=b","PRICING_SOURCE",$C$6,$AC43,$M$9,$M43,$N$9,$P43,$Q$9,$S43)))</f>
        <v>#VALUE!</v>
      </c>
      <c r="Y43" s="166" t="e">
        <f>IF(B43="","",IF(OR(AD43="SINKABLE",AD43="CALL/SINK"),_xll.BDP($B43,Y$9,"fill=b","PRICING_SOURCE",$C$6,$AC43,$M$9,$M43,$N$9,$P43,$Q$10,$S43),_xll.BDP($B43,Y$9,"fill=b","PRICING_SOURCE",$C$6,$AC43,$M$9,$M43,$N$9,$P43,$Q$9,$S43)))</f>
        <v>#VALUE!</v>
      </c>
      <c r="Z43" s="255" t="e">
        <f>IF(B43="","",IF(OR(AD43="SINKABLE",AD43="CALL/SINK"),_xll.BDP($B43,Z$9,"fill=b","PRICING_SOURCE",$C$6,$AC43,$M$9,$M43,$N$9,$P43,$Q$10,$S43),_xll.BDP($B43,Z$9,"fill=b","PRICING_SOURCE",$C$6,$AC43,$M$9,$M43,$N$9,$P43,$Q$9,$S43)))</f>
        <v>#VALUE!</v>
      </c>
      <c r="AA43" s="166" t="e">
        <f>IF(B43="","",IF(OR(AD43="SINKABLE",AD43="CALL/SINK"),_xll.BDP($B43,AA$9,"fill=b","PRICING_SOURCE",$C$6,$AC43,$M$9,$M43,$N$9,$P43,$Q$10,$S43),_xll.BDP($B43,AA$9,"fill=b","PRICING_SOURCE",$C$6,$AC43,$M$9,$M43,$N$9,$P43,$Q$9,$S43)))</f>
        <v>#VALUE!</v>
      </c>
      <c r="AB43" s="150" t="str" cm="1">
        <f t="array" ref="AB43">IF(B43="","",IF(LEFT(_xlfn.SINGLE(_xll.BDP($B43,AB$9,"fill=b")),1)="#","-",_xll.BDP($B43,AB$9,"fill=b")))</f>
        <v>7/18/2018</v>
      </c>
      <c r="AC43" s="150" t="str">
        <f t="shared" si="12"/>
        <v>YLD FLAG=28</v>
      </c>
      <c r="AD43" s="150" t="str" cm="1">
        <f t="array" ref="AD43">IF(B43="","",_xll.BDP($B43,AD$9,"fill=b"))</f>
        <v>SINKABLE</v>
      </c>
      <c r="AE43" s="256" cm="1">
        <f t="array" ref="AE43">IF(B43="","",IF(ISERROR(_xlfn.SINGLE(_xll.BDH(B43,"PX LAST",AN43,AN43,"DAYS=ALL","PRICING SOURCE",$C$6))*1),_xll.BDP(B43,"PAR AMT"),_xll.BDH(B43,"PX LAST",AN43,AN43,"DAYS=ALL","PRICING SOURCE",$C$6)))</f>
        <v>333.40000000000003</v>
      </c>
      <c r="AF43" s="150" cm="1">
        <f t="array" ref="AF43">IF(B43="","",_xll.BDP($B43,AF$9,"fill=b"))</f>
        <v>4.4114829034199996</v>
      </c>
      <c r="AG43" s="150"/>
      <c r="AH43" s="190">
        <f>IF(B43="","",IF($AD43="AT MATURITY",$AB43*1,_xll.BADDPERIODS(_xll.BDP($B43,"issue dt"),"numberofperiods",TRUNC(_xll.BDP($B43,"YRS_TO_LONGEST_AVG_LIFE","YLD_YTM_BID",AF43,"SETTLE_DT",U43,AC43),0),"per=y")+(ROUND(MOD(_xll.BDP(B43,"YRS_TO_LONGEST_AVG_LIFE","YLD_YTM_BID",AF43,"SETTLE_DT",U43,AC43),1)*360,0))))</f>
        <v>42935</v>
      </c>
      <c r="AI43" s="150" t="e" cm="1">
        <f t="array" ref="AI43">IF(B43="","",AF43-_xll.BInterpol(_xll.BDP(_xll.BDS("YCGT0372 Index","curve members","CURVE_DATE", $U43,"endcol=1","array=true"),"maturity")*1,_xll.BDH(_xll.BDS("YCGT0372 Index","curve members","CURVE_DATE", $U43,"endcol=1","array=true"),"yld cnv mid",$U43,$U43,"days=all"),AH43,"CUBIC","Extrapolate=LINEAR","SKIP=TRUE","SORT=TRUE","MultiX=Average"))</f>
        <v>#VALUE!</v>
      </c>
      <c r="AJ43" s="189">
        <f t="shared" ref="AJ43:AJ74" si="15">IF(ISERROR(IF(LEFT(IF(MID(G43,8,2)="DI",J43,IF(MID(G43,8,4)="IPCA",AI43,"")),1)="#","",IF(MID(G43,8,2)="DI",J43,IF(MID(G43,8,4)="IPCA",AI43,IF(G43="BRAZIL PERCENT DI",J43,""))))),"",IF(LEFT(IF(MID(G43,8,2)="DI",J43,IF(MID(G43,8,4)="IPCA",AI43,"")),1)="#","",IF(MID(G43,8,2)="DI",J43,IF(MID(G43,8,4)="IPCA",AI43,IF(G43="BRAZIL PERCENT DI",J43,"")))))</f>
        <v>2.5</v>
      </c>
      <c r="AK43" s="257" t="str" cm="1">
        <f t="array" ref="AK43">IF(B43="","",_xll.BDP($B43,AK$9,"fill=b"))</f>
        <v>300MM</v>
      </c>
      <c r="AL43" s="257" t="str" cm="1">
        <f t="array" ref="AL43">IF(B43="","",_xll.BDP($B43,AL$9,"fill=b"))</f>
        <v>0</v>
      </c>
      <c r="AM43" s="256" cm="1">
        <f t="array" ref="AM43">IF(B43="","",_xll.BDP($B43,AM$9,"fill=b"))</f>
        <v>333.40000000000003</v>
      </c>
      <c r="AN43" s="150" t="str" cm="1">
        <f t="array" ref="AN43">IF(B43="","",_xll.BDP($B43,AN$9,"fill=b"))</f>
        <v>7/18/2012</v>
      </c>
      <c r="AO43" s="150" t="str" cm="1">
        <f t="array" ref="AO43">IF(B43="","",IF(LEFT(_xlfn.SINGLE(_xll.BDP($B43,AO$9,"fill=b")),1)="#","-",_xll.BDP($B43,AO$9,"fill=b")))</f>
        <v>BANVOT</v>
      </c>
      <c r="AP43" s="150" t="str" cm="1">
        <f t="array" ref="AP43">IF(B43="","",_xll.BDP($B43,AP$9,"fill=b"))</f>
        <v>Industrial</v>
      </c>
      <c r="AQ43" s="150" t="str" cm="1">
        <f t="array" ref="AQ43">IF(B43="","",_xll.BDP($B43,AQ$9,"fill=b"))</f>
        <v>Transportation</v>
      </c>
      <c r="AR43" s="150" t="str" cm="1">
        <f t="array" ref="AR43">IF(B43="","",_xll.BDP($B43,AR$9,"fill=b"))</f>
        <v>NR</v>
      </c>
      <c r="AS43" s="150" t="str" cm="1">
        <f t="array" ref="AS43">IF(B43="","",_xll.BDP($B43,AS$9,"fill=b"))</f>
        <v/>
      </c>
      <c r="AT43" s="150" t="str" cm="1">
        <f t="array" ref="AT43">IF(B43="","",_xll.BDP($B43,AT$9,"fill=b"))</f>
        <v/>
      </c>
      <c r="AU43" s="258" t="str" cm="1">
        <f t="array" ref="AU43">IF(B43="","",_xll.BDP($B43,AU$9,"fill=b"))</f>
        <v>CPN = BZDIOVRA + 250 BPS. ISSUED UNDER ICVM 476</v>
      </c>
    </row>
    <row r="44" spans="2:47" ht="15" x14ac:dyDescent="0.25">
      <c r="B44" s="232" t="s">
        <v>265</v>
      </c>
      <c r="C44" s="150" t="str" cm="1">
        <f t="array" ref="C44">IF(B44="","",_xll.BDP($B44,C$9,"fill=b"))</f>
        <v>CANT32</v>
      </c>
      <c r="D44" s="150" t="str" cm="1">
        <f t="array" ref="D44">IF(B44="","",_xll.BDP($B44,D$9,"fill=b"))</f>
        <v>ANDRA 9.8 06/15/22</v>
      </c>
      <c r="E44" s="150" t="str" cm="1">
        <f t="array" ref="E44">IF(B44="","",_xll.BDP($B44,E$9,"fill=b"))</f>
        <v>ANDRADE GUTIERREZ PART</v>
      </c>
      <c r="F44" s="150" t="str" cm="1">
        <f t="array" ref="F44">IF(B44="","",IF(LEFT(_xlfn.SINGLE(_xll.BDP($B44,F$9,"fill=b")),1)="#","-",_xll.BDP($B44,F$9,"fill=b")))</f>
        <v>3590197Z BZ</v>
      </c>
      <c r="G44" s="150" t="str" cm="1">
        <f t="array" ref="G44">IF(B44="","",_xll.BDP($B44,G$9,"fill=b"))</f>
        <v>*NO CALCULATIONS*</v>
      </c>
      <c r="H44" s="150" t="str" cm="1">
        <f t="array" ref="H44">IF(B44="","",_xll.BDP($B44,H$9,"fill=b"))</f>
        <v/>
      </c>
      <c r="I44" s="150" t="str" cm="1">
        <f t="array" ref="I44">IF(LEFT(_xlfn.SINGLE(_xll.BDP(B44,"REFERENCE_INDEX")),1)="#",IF(LEFT(_xlfn.SINGLE(_xll.BDP(B44, "RESET_IDX"))&amp;" Index",1)="#","",_xlfn.SINGLE(_xll.BDP(B44, "RESET_IDX"))&amp;" Index"),_xll.BDP(B44,"REFERENCE_INDEX"))</f>
        <v/>
      </c>
      <c r="J44" s="150" t="str">
        <f>IF(I44="BZDIOVRA Index",IF(_xll.BDP(B44,"FLT_SPREAD")/100=0,_xll.BDP(B44,"FLT_BENCH_MULTIPLIER"),_xll.BDP(B44,"FLT_SPREAD")/100),"")</f>
        <v/>
      </c>
      <c r="K44" s="150" t="str" cm="1">
        <f t="array" ref="K44">IF(B44="","",IF(LEFT(_xlfn.SINGLE(_xll.BDP($B44,K$9,"fill=b")),1)="#","-",_xll.BDP($B44,K$9,"fill=b")))</f>
        <v>-</v>
      </c>
      <c r="L44" s="233"/>
      <c r="M44" s="234" t="e">
        <f t="shared" si="3"/>
        <v>#VALUE!</v>
      </c>
      <c r="N44" s="252" t="e">
        <f>IF(B44="","",IF(R44="",IF(OR(AD44="SINKABLE",AD44="CALL/SINK"),_xll.BDP(B44,$N$9,$M$9,M44,"PRICING SOURCE",$C$6,"FILL=B"),_xll.BDP(B44,$N$9,$M$9,M44,"PRICING SOURCE",$C$6,"FILL=B")),IF(OR(AD44="SINKABLE",AD44="CALL/SINK"),_xll.BDP(B44,$N$9,$Q$10,S44,$M$9,M44,"PRICING SOURCE",$C$6,"FILL=B"),_xll.BDP(B44,$N$9,$Q$9,S44,$M$9,M44,"PRICING SOURCE",$C$6,"FILL=B"))))</f>
        <v>#VALUE!</v>
      </c>
      <c r="O44" s="235"/>
      <c r="P44" s="236" t="e">
        <f t="shared" ref="P44:P70" si="16">IF(O44="",N44,O44)</f>
        <v>#VALUE!</v>
      </c>
      <c r="Q44" s="166" t="str">
        <f>IF(ISERROR((IF(OR(AD44="SINKABLE",AD44="CALL/SINK"),_xll.BDP($B44,$Q$10,"fill=b","PRICING_SOURCE",$C$6,$AC44,$N$9,$P44,$M$9,$M44),_xll.BDP($B44,Q$9,"fill=b","PRICING_SOURCE",$C$6,$AC44,$N$9,$P44,$M$9,$M44)))*1),"",IF(OR(AD44="SINKABLE",AD44="CALL/SINK"),_xll.BDP($B44,$Q$10,"fill=b","PRICING_SOURCE",$C$6,$AC44,$N$9,$P44,$M$9,$M44),_xll.BDP($B44,Q$9,"fill=b","PRICING_SOURCE",$C$6,$AC44,$N$9,$P44,$M$9,$M44)))</f>
        <v/>
      </c>
      <c r="R44" s="237"/>
      <c r="S44" s="238" t="str">
        <f t="shared" ref="S44:S70" si="17">IF(R44="",Q44,R44)</f>
        <v/>
      </c>
      <c r="T44" s="239" t="str" cm="1">
        <f t="array" ref="T44">IF(ISERROR((_xlfn.SINGLE(IF(OR(AD44="SINKABLE",AD44="CALL/SINK"),_xll.BDP($B44,$Q$10,"fill=b","PRICING_SOURCE",$C$6,$AC44,$M$9,$U44,"px ask",$AE44),_xll.BDP($B44,Q$9,"fill=b","PRICING_SOURCE",$C$6,$AC44,$M$9,$U44,"px ask",$AE44))))*1),"",IF(OR(AD44="SINKABLE",AD44="CALL/SINK"),_xll.BDP($B44,$Q$10,"fill=b","PRICING_SOURCE",$C$6,$AC44,$M$9,$U44,"px ask",$AE44),_xll.BDP($B44,Q$9,"fill=b","PRICING_SOURCE",$C$6,$AC44,$M$9,$U44,"px ask",$AE44)))</f>
        <v/>
      </c>
      <c r="U44" s="240" t="str">
        <f t="shared" si="13"/>
        <v>20120615</v>
      </c>
      <c r="V44" s="254" t="e" cm="1">
        <f t="array" ref="V44">IF(B44="","",IF(I44="BZDIOVRA Index",IF(OR(AD44="SINKABLE",AD44="CALL/SINK"),_xll.BDP($B44,"PX_ASK",$Q$10,J44,$M$9,M44),_xll.BDP($B44,"PX_"&amp;$H$7,$Q$9,J44,$M$9,M44)),_xll.BDP($B44,"PX_"&amp;$H$7,$Q$9,_xll.BDP(B44,"CPN"),$M$9,M44)))</f>
        <v>#VALUE!</v>
      </c>
      <c r="W44" s="254" t="str">
        <f t="shared" si="14"/>
        <v/>
      </c>
      <c r="X44" s="166" t="e">
        <f>IF(B44="","",IF(OR(AD44="SINKABLE",AD44="CALL/SINK"),_xll.BDP($B44,X$9,"fill=b","PRICING_SOURCE",$C$6,$AC44,$M$9,$M44,$N$9,$P44,$Q$10,$S44),_xll.BDP($B44,X$9,"fill=b","PRICING_SOURCE",$C$6,$AC44,$M$9,$M44,$N$9,$P44,$Q$9,$S44)))</f>
        <v>#VALUE!</v>
      </c>
      <c r="Y44" s="166" t="e">
        <f>IF(B44="","",IF(OR(AD44="SINKABLE",AD44="CALL/SINK"),_xll.BDP($B44,Y$9,"fill=b","PRICING_SOURCE",$C$6,$AC44,$M$9,$M44,$N$9,$P44,$Q$10,$S44),_xll.BDP($B44,Y$9,"fill=b","PRICING_SOURCE",$C$6,$AC44,$M$9,$M44,$N$9,$P44,$Q$9,$S44)))</f>
        <v>#VALUE!</v>
      </c>
      <c r="Z44" s="255" t="e">
        <f>IF(B44="","",IF(OR(AD44="SINKABLE",AD44="CALL/SINK"),_xll.BDP($B44,Z$9,"fill=b","PRICING_SOURCE",$C$6,$AC44,$M$9,$M44,$N$9,$P44,$Q$10,$S44),_xll.BDP($B44,Z$9,"fill=b","PRICING_SOURCE",$C$6,$AC44,$M$9,$M44,$N$9,$P44,$Q$9,$S44)))</f>
        <v>#VALUE!</v>
      </c>
      <c r="AA44" s="166" t="e">
        <f>IF(B44="","",IF(OR(AD44="SINKABLE",AD44="CALL/SINK"),_xll.BDP($B44,AA$9,"fill=b","PRICING_SOURCE",$C$6,$AC44,$M$9,$M44,$N$9,$P44,$Q$10,$S44),_xll.BDP($B44,AA$9,"fill=b","PRICING_SOURCE",$C$6,$AC44,$M$9,$M44,$N$9,$P44,$Q$9,$S44)))</f>
        <v>#VALUE!</v>
      </c>
      <c r="AB44" s="150" t="str" cm="1">
        <f t="array" ref="AB44">IF(B44="","",IF(LEFT(_xlfn.SINGLE(_xll.BDP($B44,AB$9,"fill=b")),1)="#","-",_xll.BDP($B44,AB$9,"fill=b")))</f>
        <v>6/15/2022</v>
      </c>
      <c r="AC44" s="150" t="str">
        <f t="shared" ref="AC44:AC70" si="18">IF(OR(AD44="SINKABLE",AD44="CALL/SINK"),"YLD FLAG=28",IF(OR(AD44="AT MATURITY",AD44="CALLABLE"),"YLD FLAG=1","YLD FLAG=2"))</f>
        <v>YLD FLAG=28</v>
      </c>
      <c r="AD44" s="150" t="str" cm="1">
        <f t="array" ref="AD44">IF(B44="","",_xll.BDP($B44,AD$9,"fill=b"))</f>
        <v>SINKABLE</v>
      </c>
      <c r="AE44" s="256" cm="1">
        <f t="array" ref="AE44">IF(B44="","",IF(ISERROR(_xlfn.SINGLE(_xll.BDH(B44,"PX LAST",AN44,AN44,"DAYS=ALL","PRICING SOURCE",$C$6))*1),_xll.BDP(B44,"PAR AMT"),_xll.BDH(B44,"PX LAST",AN44,AN44,"DAYS=ALL","PRICING SOURCE",$C$6)))</f>
        <v>8500</v>
      </c>
      <c r="AF44" s="150" cm="1">
        <f t="array" ref="AF44">IF(B44="","",_xll.BDP($B44,AF$9,"fill=b"))</f>
        <v>9.8000000000000007</v>
      </c>
      <c r="AG44" s="150"/>
      <c r="AH44" s="190">
        <f>IF(B44="","",IF($AD44="AT MATURITY",$AB44*1,_xll.BADDPERIODS(_xll.BDP($B44,"issue dt"),"numberofperiods",TRUNC(_xll.BDP($B44,"YRS_TO_LONGEST_AVG_LIFE","YLD_YTM_BID",AF44,"SETTLE_DT",U44,AC44),0),"per=y")+(ROUND(MOD(_xll.BDP(B44,"YRS_TO_LONGEST_AVG_LIFE","YLD_YTM_BID",AF44,"SETTLE_DT",U44,AC44),1)*360,0))))</f>
        <v>41075</v>
      </c>
      <c r="AI44" s="150" t="e" cm="1">
        <f t="array" ref="AI44">IF(B44="","",AF44-_xll.BInterpol(_xll.BDP(_xll.BDS("YCGT0372 Index","curve members","CURVE_DATE", $U44,"endcol=1","array=true"),"maturity")*1,_xll.BDH(_xll.BDS("YCGT0372 Index","curve members","CURVE_DATE", $U44,"endcol=1","array=true"),"yld cnv mid",$U44,$U44,"days=all"),AH44,"CUBIC","Extrapolate=LINEAR","SKIP=TRUE","SORT=TRUE","MultiX=Average"))</f>
        <v>#VALUE!</v>
      </c>
      <c r="AJ44" s="189" t="str">
        <f t="shared" si="15"/>
        <v/>
      </c>
      <c r="AK44" s="257" t="str" cm="1">
        <f t="array" ref="AK44">IF(B44="","",_xll.BDP($B44,AK$9,"fill=b"))</f>
        <v>478.06MM</v>
      </c>
      <c r="AL44" s="257" t="str" cm="1">
        <f t="array" ref="AL44">IF(B44="","",_xll.BDP($B44,AL$9,"fill=b"))</f>
        <v>0</v>
      </c>
      <c r="AM44" s="256" cm="1">
        <f t="array" ref="AM44">IF(B44="","",_xll.BDP($B44,AM$9,"fill=b"))</f>
        <v>8500</v>
      </c>
      <c r="AN44" s="150" t="str" cm="1">
        <f t="array" ref="AN44">IF(B44="","",_xll.BDP($B44,AN$9,"fill=b"))</f>
        <v>6/15/2012</v>
      </c>
      <c r="AO44" s="150" t="str" cm="1">
        <f t="array" ref="AO44">IF(B44="","",IF(LEFT(_xlfn.SINGLE(_xll.BDP($B44,AO$9,"fill=b")),1)="#","-",_xll.BDP($B44,AO$9,"fill=b")))</f>
        <v>JOINT LEADS</v>
      </c>
      <c r="AP44" s="150" t="str" cm="1">
        <f t="array" ref="AP44">IF(B44="","",_xll.BDP($B44,AP$9,"fill=b"))</f>
        <v>Diversified</v>
      </c>
      <c r="AQ44" s="150" t="str" cm="1">
        <f t="array" ref="AQ44">IF(B44="","",_xll.BDP($B44,AQ$9,"fill=b"))</f>
        <v>Holding Companies-Divers</v>
      </c>
      <c r="AR44" s="150" t="str" cm="1">
        <f t="array" ref="AR44">IF(B44="","",_xll.BDP($B44,AR$9,"fill=b"))</f>
        <v>NR</v>
      </c>
      <c r="AS44" s="150" t="str" cm="1">
        <f t="array" ref="AS44">IF(B44="","",_xll.BDP($B44,AS$9,"fill=b"))</f>
        <v/>
      </c>
      <c r="AT44" s="150" t="str" cm="1">
        <f t="array" ref="AT44">IF(B44="","",_xll.BDP($B44,AT$9,"fill=b"))</f>
        <v/>
      </c>
      <c r="AU44" s="258" t="str" cm="1">
        <f t="array" ref="AU44">IF(B44="","",_xll.BDP($B44,AU$9,"fill=b"))</f>
        <v>CPN = BZCLVLUE INDEX + 980 BPS. ISSUED UNDER CVM 476/09</v>
      </c>
    </row>
    <row r="45" spans="2:47" ht="15" x14ac:dyDescent="0.25">
      <c r="B45" s="232" t="s">
        <v>303</v>
      </c>
      <c r="C45" s="150" t="str" cm="1">
        <f t="array" ref="C45">IF(B45="","",_xll.BDP($B45,C$9,"fill=b"))</f>
        <v>ENGI15</v>
      </c>
      <c r="D45" s="150" t="str" cm="1">
        <f t="array" ref="D45">IF(B45="","",_xll.BDP($B45,D$9,"fill=b"))</f>
        <v>ENGIBZ Float 07/15/17</v>
      </c>
      <c r="E45" s="150" t="str" cm="1">
        <f t="array" ref="E45">IF(B45="","",_xll.BDP($B45,E$9,"fill=b"))</f>
        <v>ENERGISA SA</v>
      </c>
      <c r="F45" s="150" t="str" cm="1">
        <f t="array" ref="F45">IF(B45="","",IF(LEFT(_xlfn.SINGLE(_xll.BDP($B45,F$9,"fill=b")),1)="#","-",_xll.BDP($B45,F$9,"fill=b")))</f>
        <v>ENGI3 BZ</v>
      </c>
      <c r="G45" s="150" t="str" cm="1">
        <f t="array" ref="G45">IF(B45="","",_xll.BDP($B45,G$9,"fill=b"))</f>
        <v>BRAZIL DI+SPREAD</v>
      </c>
      <c r="H45" s="150" t="str" cm="1">
        <f t="array" ref="H45">IF(B45="","",_xll.BDP($B45,H$9,"fill=b"))</f>
        <v>OVRA BZDI +233.480</v>
      </c>
      <c r="I45" s="150" t="str" cm="1">
        <f t="array" ref="I45">IF(LEFT(_xlfn.SINGLE(_xll.BDP(B45,"REFERENCE_INDEX")),1)="#",IF(LEFT(_xlfn.SINGLE(_xll.BDP(B45, "RESET_IDX"))&amp;" Index",1)="#","",_xlfn.SINGLE(_xll.BDP(B45, "RESET_IDX"))&amp;" Index"),_xll.BDP(B45,"REFERENCE_INDEX"))</f>
        <v>BZDIOVRA Index</v>
      </c>
      <c r="J45" s="150" cm="1">
        <f t="array" ref="J45">IF(I45="BZDIOVRA Index",IF(_xlfn.SINGLE(_xll.BDP(B45,"FLT_SPREAD"))/100=0,_xll.BDP(B45,"FLT_BENCH_MULTIPLIER"),_xlfn.SINGLE(_xll.BDP(B45,"FLT_SPREAD"))/100),"")</f>
        <v>2.3348</v>
      </c>
      <c r="K45" s="150" t="str" cm="1">
        <f t="array" ref="K45">IF(B45="","",IF(LEFT(_xlfn.SINGLE(_xll.BDP($B45,K$9,"fill=b")),1)="#","-",_xll.BDP($B45,K$9,"fill=b")))</f>
        <v>-</v>
      </c>
      <c r="L45" s="233"/>
      <c r="M45" s="234" t="e">
        <f t="shared" si="3"/>
        <v>#VALUE!</v>
      </c>
      <c r="N45" s="252" t="e">
        <f>IF(B45="","",IF(R45="",IF(OR(AD45="SINKABLE",AD45="CALL/SINK"),_xll.BDP(B45,$N$9,$M$9,M45,"PRICING SOURCE",$C$6,"FILL=B"),_xll.BDP(B45,$N$9,$M$9,M45,"PRICING SOURCE",$C$6,"FILL=B")),IF(OR(AD45="SINKABLE",AD45="CALL/SINK"),_xll.BDP(B45,$N$9,$Q$10,S45,$M$9,M45,"PRICING SOURCE",$C$6,"FILL=B"),_xll.BDP(B45,$N$9,$Q$9,S45,$M$9,M45,"PRICING SOURCE",$C$6,"FILL=B"))))</f>
        <v>#VALUE!</v>
      </c>
      <c r="O45" s="235"/>
      <c r="P45" s="236" t="e">
        <f t="shared" si="16"/>
        <v>#VALUE!</v>
      </c>
      <c r="Q45" s="166" t="str">
        <f>IF(ISERROR((IF(OR(AD45="SINKABLE",AD45="CALL/SINK"),_xll.BDP($B45,$Q$10,"fill=b","PRICING_SOURCE",$C$6,$AC45,$N$9,$P45,$M$9,$M45),_xll.BDP($B45,Q$9,"fill=b","PRICING_SOURCE",$C$6,$AC45,$N$9,$P45,$M$9,$M45)))*1),"",IF(OR(AD45="SINKABLE",AD45="CALL/SINK"),_xll.BDP($B45,$Q$10,"fill=b","PRICING_SOURCE",$C$6,$AC45,$N$9,$P45,$M$9,$M45),_xll.BDP($B45,Q$9,"fill=b","PRICING_SOURCE",$C$6,$AC45,$N$9,$P45,$M$9,$M45)))</f>
        <v/>
      </c>
      <c r="R45" s="237"/>
      <c r="S45" s="238" t="str">
        <f t="shared" si="17"/>
        <v/>
      </c>
      <c r="T45" s="239" cm="1">
        <f t="array" ref="T45">IF(ISERROR((_xlfn.SINGLE(IF(OR(AD45="SINKABLE",AD45="CALL/SINK"),_xll.BDP($B45,$Q$10,"fill=b","PRICING_SOURCE",$C$6,$AC45,$M$9,$U45,"px ask",$AE45),_xll.BDP($B45,Q$9,"fill=b","PRICING_SOURCE",$C$6,$AC45,$M$9,$U45,"px ask",$AE45))))*1),"",IF(OR(AD45="SINKABLE",AD45="CALL/SINK"),_xll.BDP($B45,$Q$10,"fill=b","PRICING_SOURCE",$C$6,$AC45,$M$9,$U45,"px ask",$AE45),_xll.BDP($B45,Q$9,"fill=b","PRICING_SOURCE",$C$6,$AC45,$M$9,$U45,"px ask",$AE45)))</f>
        <v>22.120104676648044</v>
      </c>
      <c r="U45" s="240" t="str">
        <f t="shared" si="13"/>
        <v>20120715</v>
      </c>
      <c r="V45" s="254" t="e" cm="1">
        <f t="array" ref="V45">IF(B45="","",IF(I45="BZDIOVRA Index",IF(OR(AD45="SINKABLE",AD45="CALL/SINK"),_xll.BDP($B45,"PX_ASK",$Q$10,J45,$M$9,M45),_xll.BDP($B45,"PX_"&amp;$H$7,$Q$9,J45,$M$9,M45)),_xll.BDP($B45,"PX_"&amp;$H$7,$Q$9,_xll.BDP(B45,"CPN"),$M$9,M45)))</f>
        <v>#VALUE!</v>
      </c>
      <c r="W45" s="254" t="str">
        <f t="shared" si="14"/>
        <v/>
      </c>
      <c r="X45" s="166" t="e">
        <f>IF(B45="","",IF(OR(AD45="SINKABLE",AD45="CALL/SINK"),_xll.BDP($B45,X$9,"fill=b","PRICING_SOURCE",$C$6,$AC45,$M$9,$M45,$N$9,$P45,$Q$10,$S45),_xll.BDP($B45,X$9,"fill=b","PRICING_SOURCE",$C$6,$AC45,$M$9,$M45,$N$9,$P45,$Q$9,$S45)))</f>
        <v>#VALUE!</v>
      </c>
      <c r="Y45" s="166" t="e">
        <f>IF(B45="","",IF(OR(AD45="SINKABLE",AD45="CALL/SINK"),_xll.BDP($B45,Y$9,"fill=b","PRICING_SOURCE",$C$6,$AC45,$M$9,$M45,$N$9,$P45,$Q$10,$S45),_xll.BDP($B45,Y$9,"fill=b","PRICING_SOURCE",$C$6,$AC45,$M$9,$M45,$N$9,$P45,$Q$9,$S45)))</f>
        <v>#VALUE!</v>
      </c>
      <c r="Z45" s="255" t="e">
        <f>IF(B45="","",IF(OR(AD45="SINKABLE",AD45="CALL/SINK"),_xll.BDP($B45,Z$9,"fill=b","PRICING_SOURCE",$C$6,$AC45,$M$9,$M45,$N$9,$P45,$Q$10,$S45),_xll.BDP($B45,Z$9,"fill=b","PRICING_SOURCE",$C$6,$AC45,$M$9,$M45,$N$9,$P45,$Q$9,$S45)))</f>
        <v>#VALUE!</v>
      </c>
      <c r="AA45" s="166" t="e">
        <f>IF(B45="","",IF(OR(AD45="SINKABLE",AD45="CALL/SINK"),_xll.BDP($B45,AA$9,"fill=b","PRICING_SOURCE",$C$6,$AC45,$M$9,$M45,$N$9,$P45,$Q$10,$S45),_xll.BDP($B45,AA$9,"fill=b","PRICING_SOURCE",$C$6,$AC45,$M$9,$M45,$N$9,$P45,$Q$9,$S45)))</f>
        <v>#VALUE!</v>
      </c>
      <c r="AB45" s="150" t="str" cm="1">
        <f t="array" ref="AB45">IF(B45="","",IF(LEFT(_xlfn.SINGLE(_xll.BDP($B45,AB$9,"fill=b")),1)="#","-",_xll.BDP($B45,AB$9,"fill=b")))</f>
        <v>7/15/2017</v>
      </c>
      <c r="AC45" s="150" t="str">
        <f t="shared" si="18"/>
        <v>YLD FLAG=28</v>
      </c>
      <c r="AD45" s="150" t="str" cm="1">
        <f t="array" ref="AD45">IF(B45="","",_xll.BDP($B45,AD$9,"fill=b"))</f>
        <v>CALL/SINK</v>
      </c>
      <c r="AE45" s="256" cm="1">
        <f t="array" ref="AE45">IF(B45="","",IF(ISERROR(_xlfn.SINGLE(_xll.BDH(B45,"PX LAST",AN45,AN45,"DAYS=ALL","PRICING SOURCE",$C$6))*1),_xll.BDP(B45,"PAR AMT"),_xll.BDH(B45,"PX LAST",AN45,AN45,"DAYS=ALL","PRICING SOURCE",$C$6)))</f>
        <v>5000</v>
      </c>
      <c r="AF45" s="150" cm="1">
        <f t="array" ref="AF45">IF(B45="","",_xll.BDP($B45,AF$9,"fill=b"))</f>
        <v>6.7258000999999998</v>
      </c>
      <c r="AG45" s="150"/>
      <c r="AH45" s="190">
        <f>IF(B45="","",IF($AD45="AT MATURITY",$AB45*1,_xll.BADDPERIODS(_xll.BDP($B45,"issue dt"),"numberofperiods",TRUNC(_xll.BDP($B45,"YRS_TO_LONGEST_AVG_LIFE","YLD_YTM_BID",AF45,"SETTLE_DT",U45,AC45),0),"per=y")+(ROUND(MOD(_xll.BDP(B45,"YRS_TO_LONGEST_AVG_LIFE","YLD_YTM_BID",AF45,"SETTLE_DT",U45,AC45),1)*360,0))))</f>
        <v>42746</v>
      </c>
      <c r="AI45" s="150" t="e" cm="1">
        <f t="array" ref="AI45">IF(B45="","",AF45-_xll.BInterpol(_xll.BDP(_xll.BDS("YCGT0372 Index","curve members","CURVE_DATE", $U45,"endcol=1","array=true"),"maturity")*1,_xll.BDH(_xll.BDS("YCGT0372 Index","curve members","CURVE_DATE", $U45,"endcol=1","array=true"),"yld cnv mid",$U45,$U45,"days=all"),AH45,"CUBIC","Extrapolate=LINEAR","SKIP=TRUE","SORT=TRUE","MultiX=Average"))</f>
        <v>#VALUE!</v>
      </c>
      <c r="AJ45" s="189">
        <f t="shared" si="15"/>
        <v>2.3348</v>
      </c>
      <c r="AK45" s="257" t="str" cm="1">
        <f t="array" ref="AK45">IF(B45="","",_xll.BDP($B45,AK$9,"fill=b"))</f>
        <v>128.57MM</v>
      </c>
      <c r="AL45" s="257" t="str" cm="1">
        <f t="array" ref="AL45">IF(B45="","",_xll.BDP($B45,AL$9,"fill=b"))</f>
        <v>0</v>
      </c>
      <c r="AM45" s="256" cm="1">
        <f t="array" ref="AM45">IF(B45="","",_xll.BDP($B45,AM$9,"fill=b"))</f>
        <v>5000</v>
      </c>
      <c r="AN45" s="150" t="str" cm="1">
        <f t="array" ref="AN45">IF(B45="","",_xll.BDP($B45,AN$9,"fill=b"))</f>
        <v>7/15/2012</v>
      </c>
      <c r="AO45" s="150" t="str" cm="1">
        <f t="array" ref="AO45">IF(B45="","",IF(LEFT(_xlfn.SINGLE(_xll.BDP($B45,AO$9,"fill=b")),1)="#","-",_xll.BDP($B45,AO$9,"fill=b")))</f>
        <v>BTG</v>
      </c>
      <c r="AP45" s="150" t="str" cm="1">
        <f t="array" ref="AP45">IF(B45="","",_xll.BDP($B45,AP$9,"fill=b"))</f>
        <v>Utilities</v>
      </c>
      <c r="AQ45" s="150" t="str" cm="1">
        <f t="array" ref="AQ45">IF(B45="","",_xll.BDP($B45,AQ$9,"fill=b"))</f>
        <v>Electric</v>
      </c>
      <c r="AR45" s="150" t="str" cm="1">
        <f t="array" ref="AR45">IF(B45="","",_xll.BDP($B45,AR$9,"fill=b"))</f>
        <v/>
      </c>
      <c r="AS45" s="150" t="str" cm="1">
        <f t="array" ref="AS45">IF(B45="","",_xll.BDP($B45,AS$9,"fill=b"))</f>
        <v/>
      </c>
      <c r="AT45" s="150" t="str" cm="1">
        <f t="array" ref="AT45">IF(B45="","",_xll.BDP($B45,AT$9,"fill=b"))</f>
        <v/>
      </c>
      <c r="AU45" s="258" t="str" cm="1">
        <f t="array" ref="AU45">IF(B45="","",_xll.BDP($B45,AU$9,"fill=b"))</f>
        <v>CPN = BZDIOVRA + 233.48 BPS.</v>
      </c>
    </row>
    <row r="46" spans="2:47" ht="15" x14ac:dyDescent="0.25">
      <c r="B46" s="232" t="s">
        <v>337</v>
      </c>
      <c r="C46" s="150" t="str" cm="1">
        <f t="array" ref="C46">IF(B46="","",_xll.BDP($B46,C$9,"fill=b"))</f>
        <v>AMPL17</v>
      </c>
      <c r="D46" s="150" t="str" cm="1">
        <f t="array" ref="D46">IF(B46="","",_xll.BDP($B46,D$9,"fill=b"))</f>
        <v>CBEEBZ Float 06/15/17</v>
      </c>
      <c r="E46" s="150" t="str" cm="1">
        <f t="array" ref="E46">IF(B46="","",_xll.BDP($B46,E$9,"fill=b"))</f>
        <v>AMPLA ENERGIA E SERVICOS</v>
      </c>
      <c r="F46" s="150" t="str" cm="1">
        <f t="array" ref="F46">IF(B46="","",IF(LEFT(_xlfn.SINGLE(_xll.BDP($B46,F$9,"fill=b")),1)="#","-",_xll.BDP($B46,F$9,"fill=b")))</f>
        <v>ENEL IM</v>
      </c>
      <c r="G46" s="150" t="str" cm="1">
        <f t="array" ref="G46">IF(B46="","",_xll.BDP($B46,G$9,"fill=b"))</f>
        <v>BRAZIL DI+SPREAD</v>
      </c>
      <c r="H46" s="150" t="str" cm="1">
        <f t="array" ref="H46">IF(B46="","",_xll.BDP($B46,H$9,"fill=b"))</f>
        <v>OVRA BZDI +102.000</v>
      </c>
      <c r="I46" s="150" t="str" cm="1">
        <f t="array" ref="I46">IF(LEFT(_xlfn.SINGLE(_xll.BDP(B46,"REFERENCE_INDEX")),1)="#",IF(LEFT(_xlfn.SINGLE(_xll.BDP(B46, "RESET_IDX"))&amp;" Index",1)="#","",_xlfn.SINGLE(_xll.BDP(B46, "RESET_IDX"))&amp;" Index"),_xll.BDP(B46,"REFERENCE_INDEX"))</f>
        <v>BZDIOVRA Index</v>
      </c>
      <c r="J46" s="150" cm="1">
        <f t="array" ref="J46">IF(I46="BZDIOVRA Index",IF(_xlfn.SINGLE(_xll.BDP(B46,"FLT_SPREAD"))/100=0,_xll.BDP(B46,"FLT_BENCH_MULTIPLIER"),_xlfn.SINGLE(_xll.BDP(B46,"FLT_SPREAD"))/100),"")</f>
        <v>1.02</v>
      </c>
      <c r="K46" s="150" t="str" cm="1">
        <f t="array" ref="K46">IF(B46="","",IF(LEFT(_xlfn.SINGLE(_xll.BDP($B46,K$9,"fill=b")),1)="#","-",_xll.BDP($B46,K$9,"fill=b")))</f>
        <v>-</v>
      </c>
      <c r="L46" s="233"/>
      <c r="M46" s="234" t="e">
        <f t="shared" si="3"/>
        <v>#VALUE!</v>
      </c>
      <c r="N46" s="252" t="e">
        <f>IF(B46="","",IF(R46="",IF(OR(AD46="SINKABLE",AD46="CALL/SINK"),_xll.BDP(B46,$N$9,$M$9,M46,"PRICING SOURCE",$C$6,"FILL=B"),_xll.BDP(B46,$N$9,$M$9,M46,"PRICING SOURCE",$C$6,"FILL=B")),IF(OR(AD46="SINKABLE",AD46="CALL/SINK"),_xll.BDP(B46,$N$9,$Q$10,S46,$M$9,M46,"PRICING SOURCE",$C$6,"FILL=B"),_xll.BDP(B46,$N$9,$Q$9,S46,$M$9,M46,"PRICING SOURCE",$C$6,"FILL=B"))))</f>
        <v>#VALUE!</v>
      </c>
      <c r="O46" s="235"/>
      <c r="P46" s="236" t="e">
        <f t="shared" si="16"/>
        <v>#VALUE!</v>
      </c>
      <c r="Q46" s="166" t="str">
        <f>IF(ISERROR((IF(OR(AD46="SINKABLE",AD46="CALL/SINK"),_xll.BDP($B46,$Q$10,"fill=b","PRICING_SOURCE",$C$6,$AC46,$N$9,$P46,$M$9,$M46),_xll.BDP($B46,Q$9,"fill=b","PRICING_SOURCE",$C$6,$AC46,$N$9,$P46,$M$9,$M46)))*1),"",IF(OR(AD46="SINKABLE",AD46="CALL/SINK"),_xll.BDP($B46,$Q$10,"fill=b","PRICING_SOURCE",$C$6,$AC46,$N$9,$P46,$M$9,$M46),_xll.BDP($B46,Q$9,"fill=b","PRICING_SOURCE",$C$6,$AC46,$N$9,$P46,$M$9,$M46)))</f>
        <v/>
      </c>
      <c r="R46" s="237"/>
      <c r="S46" s="238" t="str">
        <f t="shared" si="17"/>
        <v/>
      </c>
      <c r="T46" s="239" cm="1">
        <f t="array" ref="T46">IF(ISERROR((_xlfn.SINGLE(IF(OR(AD46="SINKABLE",AD46="CALL/SINK"),_xll.BDP($B46,$Q$10,"fill=b","PRICING_SOURCE",$C$6,$AC46,$M$9,$U46,"px ask",$AE46),_xll.BDP($B46,Q$9,"fill=b","PRICING_SOURCE",$C$6,$AC46,$M$9,$U46,"px ask",$AE46))))*1),"",IF(OR(AD46="SINKABLE",AD46="CALL/SINK"),_xll.BDP($B46,$Q$10,"fill=b","PRICING_SOURCE",$C$6,$AC46,$M$9,$U46,"px ask",$AE46),_xll.BDP($B46,Q$9,"fill=b","PRICING_SOURCE",$C$6,$AC46,$M$9,$U46,"px ask",$AE46)))</f>
        <v>22.747833583409104</v>
      </c>
      <c r="U46" s="240" t="str">
        <f t="shared" si="13"/>
        <v>20120615</v>
      </c>
      <c r="V46" s="254" t="e" cm="1">
        <f t="array" ref="V46">IF(B46="","",IF(I46="BZDIOVRA Index",IF(OR(AD46="SINKABLE",AD46="CALL/SINK"),_xll.BDP($B46,"PX_ASK",$Q$10,J46,$M$9,M46),_xll.BDP($B46,"PX_"&amp;$H$7,$Q$9,J46,$M$9,M46)),_xll.BDP($B46,"PX_"&amp;$H$7,$Q$9,_xll.BDP(B46,"CPN"),$M$9,M46)))</f>
        <v>#VALUE!</v>
      </c>
      <c r="W46" s="254" t="str">
        <f t="shared" si="14"/>
        <v/>
      </c>
      <c r="X46" s="166" t="e">
        <f>IF(B46="","",IF(OR(AD46="SINKABLE",AD46="CALL/SINK"),_xll.BDP($B46,X$9,"fill=b","PRICING_SOURCE",$C$6,$AC46,$M$9,$M46,$N$9,$P46,$Q$10,$S46),_xll.BDP($B46,X$9,"fill=b","PRICING_SOURCE",$C$6,$AC46,$M$9,$M46,$N$9,$P46,$Q$9,$S46)))</f>
        <v>#VALUE!</v>
      </c>
      <c r="Y46" s="166" t="e">
        <f>IF(B46="","",IF(OR(AD46="SINKABLE",AD46="CALL/SINK"),_xll.BDP($B46,Y$9,"fill=b","PRICING_SOURCE",$C$6,$AC46,$M$9,$M46,$N$9,$P46,$Q$10,$S46),_xll.BDP($B46,Y$9,"fill=b","PRICING_SOURCE",$C$6,$AC46,$M$9,$M46,$N$9,$P46,$Q$9,$S46)))</f>
        <v>#VALUE!</v>
      </c>
      <c r="Z46" s="255" t="e">
        <f>IF(B46="","",IF(OR(AD46="SINKABLE",AD46="CALL/SINK"),_xll.BDP($B46,Z$9,"fill=b","PRICING_SOURCE",$C$6,$AC46,$M$9,$M46,$N$9,$P46,$Q$10,$S46),_xll.BDP($B46,Z$9,"fill=b","PRICING_SOURCE",$C$6,$AC46,$M$9,$M46,$N$9,$P46,$Q$9,$S46)))</f>
        <v>#VALUE!</v>
      </c>
      <c r="AA46" s="166" t="e">
        <f>IF(B46="","",IF(OR(AD46="SINKABLE",AD46="CALL/SINK"),_xll.BDP($B46,AA$9,"fill=b","PRICING_SOURCE",$C$6,$AC46,$M$9,$M46,$N$9,$P46,$Q$10,$S46),_xll.BDP($B46,AA$9,"fill=b","PRICING_SOURCE",$C$6,$AC46,$M$9,$M46,$N$9,$P46,$Q$9,$S46)))</f>
        <v>#VALUE!</v>
      </c>
      <c r="AB46" s="150" t="str" cm="1">
        <f t="array" ref="AB46">IF(B46="","",IF(LEFT(_xlfn.SINGLE(_xll.BDP($B46,AB$9,"fill=b")),1)="#","-",_xll.BDP($B46,AB$9,"fill=b")))</f>
        <v>6/15/2017</v>
      </c>
      <c r="AC46" s="150" t="str">
        <f t="shared" si="18"/>
        <v>YLD FLAG=28</v>
      </c>
      <c r="AD46" s="150" t="str" cm="1">
        <f t="array" ref="AD46">IF(B46="","",_xll.BDP($B46,AD$9,"fill=b"))</f>
        <v>SINKABLE</v>
      </c>
      <c r="AE46" s="256" cm="1">
        <f t="array" ref="AE46">IF(B46="","",IF(ISERROR(_xlfn.SINGLE(_xll.BDH(B46,"PX LAST",AN46,AN46,"DAYS=ALL","PRICING SOURCE",$C$6))*1),_xll.BDP(B46,"PAR AMT"),_xll.BDH(B46,"PX LAST",AN46,AN46,"DAYS=ALL","PRICING SOURCE",$C$6)))</f>
        <v>5000</v>
      </c>
      <c r="AF46" s="150" cm="1">
        <f t="array" ref="AF46">IF(B46="","",_xll.BDP($B46,AF$9,"fill=b"))</f>
        <v>0</v>
      </c>
      <c r="AG46" s="150"/>
      <c r="AH46" s="190">
        <f>IF(B46="","",IF($AD46="AT MATURITY",$AB46*1,_xll.BADDPERIODS(_xll.BDP($B46,"issue dt"),"numberofperiods",TRUNC(_xll.BDP($B46,"YRS_TO_LONGEST_AVG_LIFE","YLD_YTM_BID",AF46,"SETTLE_DT",U46,AC46),0),"per=y")+(ROUND(MOD(_xll.BDP(B46,"YRS_TO_LONGEST_AVG_LIFE","YLD_YTM_BID",AF46,"SETTLE_DT",U46,AC46),1)*360,0))))</f>
        <v>42716</v>
      </c>
      <c r="AI46" s="150" t="e" cm="1">
        <f t="array" ref="AI46">IF(B46="","",AF46-_xll.BInterpol(_xll.BDP(_xll.BDS("YCGT0372 Index","curve members","CURVE_DATE", $U46,"endcol=1","array=true"),"maturity")*1,_xll.BDH(_xll.BDS("YCGT0372 Index","curve members","CURVE_DATE", $U46,"endcol=1","array=true"),"yld cnv mid",$U46,$U46,"days=all"),AH46,"CUBIC","Extrapolate=LINEAR","SKIP=TRUE","SORT=TRUE","MultiX=Average"))</f>
        <v>#VALUE!</v>
      </c>
      <c r="AJ46" s="189">
        <f t="shared" si="15"/>
        <v>1.02</v>
      </c>
      <c r="AK46" s="257" t="str" cm="1">
        <f t="array" ref="AK46">IF(B46="","",_xll.BDP($B46,AK$9,"fill=b"))</f>
        <v>100MM</v>
      </c>
      <c r="AL46" s="257" t="str" cm="1">
        <f t="array" ref="AL46">IF(B46="","",_xll.BDP($B46,AL$9,"fill=b"))</f>
        <v>0</v>
      </c>
      <c r="AM46" s="256" cm="1">
        <f t="array" ref="AM46">IF(B46="","",_xll.BDP($B46,AM$9,"fill=b"))</f>
        <v>5000</v>
      </c>
      <c r="AN46" s="150" t="str" cm="1">
        <f t="array" ref="AN46">IF(B46="","",_xll.BDP($B46,AN$9,"fill=b"))</f>
        <v>6/15/2012</v>
      </c>
      <c r="AO46" s="150" t="str" cm="1">
        <f t="array" ref="AO46">IF(B46="","",IF(LEFT(_xlfn.SINGLE(_xll.BDP($B46,AO$9,"fill=b")),1)="#","-",_xll.BDP($B46,AO$9,"fill=b")))</f>
        <v>BBBBI,HSBC</v>
      </c>
      <c r="AP46" s="150" t="str" cm="1">
        <f t="array" ref="AP46">IF(B46="","",_xll.BDP($B46,AP$9,"fill=b"))</f>
        <v>Utilities</v>
      </c>
      <c r="AQ46" s="150" t="str" cm="1">
        <f t="array" ref="AQ46">IF(B46="","",_xll.BDP($B46,AQ$9,"fill=b"))</f>
        <v>Electric</v>
      </c>
      <c r="AR46" s="150" t="str" cm="1">
        <f t="array" ref="AR46">IF(B46="","",_xll.BDP($B46,AR$9,"fill=b"))</f>
        <v>NR</v>
      </c>
      <c r="AS46" s="150" t="str" cm="1">
        <f t="array" ref="AS46">IF(B46="","",_xll.BDP($B46,AS$9,"fill=b"))</f>
        <v/>
      </c>
      <c r="AT46" s="150" t="str" cm="1">
        <f t="array" ref="AT46">IF(B46="","",_xll.BDP($B46,AT$9,"fill=b"))</f>
        <v/>
      </c>
      <c r="AU46" s="258" t="str" cm="1">
        <f t="array" ref="AU46">IF(B46="","",_xll.BDP($B46,AU$9,"fill=b"))</f>
        <v>CPN = BZDIOVRA INDEX + 102BP  -  ISSUED UNDER ICVM 476</v>
      </c>
    </row>
    <row r="47" spans="2:47" ht="15" x14ac:dyDescent="0.25">
      <c r="B47" s="232" t="s">
        <v>270</v>
      </c>
      <c r="C47" s="150" t="str" cm="1">
        <f t="array" ref="C47">IF(B47="","",_xll.BDP($B47,C$9,"fill=b"))</f>
        <v>BRPR21</v>
      </c>
      <c r="D47" s="150" t="str" cm="1">
        <f t="array" ref="D47">IF(B47="","",_xll.BDP($B47,D$9,"fill=b"))</f>
        <v>BRPRSA 5.85 07/15/19</v>
      </c>
      <c r="E47" s="150" t="str" cm="1">
        <f t="array" ref="E47">IF(B47="","",_xll.BDP($B47,E$9,"fill=b"))</f>
        <v>BR PROPERTIES SA</v>
      </c>
      <c r="F47" s="150" t="str" cm="1">
        <f t="array" ref="F47">IF(B47="","",IF(LEFT(_xlfn.SINGLE(_xll.BDP($B47,F$9,"fill=b")),1)="#","-",_xll.BDP($B47,F$9,"fill=b")))</f>
        <v>GPIV33 BZ</v>
      </c>
      <c r="G47" s="150" t="str" cm="1">
        <f t="array" ref="G47">IF(B47="","",_xll.BDP($B47,G$9,"fill=b"))</f>
        <v>BRAZIL IPCA+SPREAD</v>
      </c>
      <c r="H47" s="150" t="str" cm="1">
        <f t="array" ref="H47">IF(B47="","",_xll.BDP($B47,H$9,"fill=b"))</f>
        <v/>
      </c>
      <c r="I47" s="150" t="str" cm="1">
        <f t="array" ref="I47">IF(LEFT(_xlfn.SINGLE(_xll.BDP(B47,"REFERENCE_INDEX")),1)="#",IF(LEFT(_xlfn.SINGLE(_xll.BDP(B47, "RESET_IDX"))&amp;" Index",1)="#","",_xlfn.SINGLE(_xll.BDP(B47, "RESET_IDX"))&amp;" Index"),_xll.BDP(B47,"REFERENCE_INDEX"))</f>
        <v>BZCLVLUE Index</v>
      </c>
      <c r="J47" s="150" t="str">
        <f>IF(I47="BZDIOVRA Index",IF(_xll.BDP(B47,"FLT_SPREAD")/100=0,_xll.BDP(B47,"FLT_BENCH_MULTIPLIER"),_xll.BDP(B47,"FLT_SPREAD")/100),"")</f>
        <v/>
      </c>
      <c r="K47" s="150" t="str" cm="1">
        <f t="array" ref="K47">IF(B47="","",IF(LEFT(_xlfn.SINGLE(_xll.BDP($B47,K$9,"fill=b")),1)="#","-",_xll.BDP($B47,K$9,"fill=b")))</f>
        <v>-</v>
      </c>
      <c r="L47" s="233"/>
      <c r="M47" s="234" t="e">
        <f t="shared" si="3"/>
        <v>#VALUE!</v>
      </c>
      <c r="N47" s="252" t="e">
        <f>IF(B47="","",IF(R47="",IF(OR(AD47="SINKABLE",AD47="CALL/SINK"),_xll.BDP(B47,$N$9,$M$9,M47,"PRICING SOURCE",$C$6,"FILL=B"),_xll.BDP(B47,$N$9,$M$9,M47,"PRICING SOURCE",$C$6,"FILL=B")),IF(OR(AD47="SINKABLE",AD47="CALL/SINK"),_xll.BDP(B47,$N$9,$Q$10,S47,$M$9,M47,"PRICING SOURCE",$C$6,"FILL=B"),_xll.BDP(B47,$N$9,$Q$9,S47,$M$9,M47,"PRICING SOURCE",$C$6,"FILL=B"))))</f>
        <v>#VALUE!</v>
      </c>
      <c r="O47" s="235"/>
      <c r="P47" s="236" t="e">
        <f t="shared" si="16"/>
        <v>#VALUE!</v>
      </c>
      <c r="Q47" s="166" t="str">
        <f>IF(ISERROR((IF(OR(AD47="SINKABLE",AD47="CALL/SINK"),_xll.BDP($B47,$Q$10,"fill=b","PRICING_SOURCE",$C$6,$AC47,$N$9,$P47,$M$9,$M47),_xll.BDP($B47,Q$9,"fill=b","PRICING_SOURCE",$C$6,$AC47,$N$9,$P47,$M$9,$M47)))*1),"",IF(OR(AD47="SINKABLE",AD47="CALL/SINK"),_xll.BDP($B47,$Q$10,"fill=b","PRICING_SOURCE",$C$6,$AC47,$N$9,$P47,$M$9,$M47),_xll.BDP($B47,Q$9,"fill=b","PRICING_SOURCE",$C$6,$AC47,$N$9,$P47,$M$9,$M47)))</f>
        <v/>
      </c>
      <c r="R47" s="237"/>
      <c r="S47" s="238" t="str">
        <f t="shared" si="17"/>
        <v/>
      </c>
      <c r="T47" s="239" cm="1">
        <f t="array" ref="T47">IF(ISERROR((_xlfn.SINGLE(IF(OR(AD47="SINKABLE",AD47="CALL/SINK"),_xll.BDP($B47,$Q$10,"fill=b","PRICING_SOURCE",$C$6,$AC47,$M$9,$U47,"px ask",$AE47),_xll.BDP($B47,Q$9,"fill=b","PRICING_SOURCE",$C$6,$AC47,$M$9,$U47,"px ask",$AE47))))*1),"",IF(OR(AD47="SINKABLE",AD47="CALL/SINK"),_xll.BDP($B47,$Q$10,"fill=b","PRICING_SOURCE",$C$6,$AC47,$M$9,$U47,"px ask",$AE47),_xll.BDP($B47,Q$9,"fill=b","PRICING_SOURCE",$C$6,$AC47,$M$9,$U47,"px ask",$AE47)))</f>
        <v>76.999520768458467</v>
      </c>
      <c r="U47" s="240" t="str">
        <f t="shared" si="13"/>
        <v>20120715</v>
      </c>
      <c r="V47" s="254" t="e" cm="1">
        <f t="array" ref="V47">IF(B47="","",IF(I47="BZDIOVRA Index",IF(OR(AD47="SINKABLE",AD47="CALL/SINK"),_xll.BDP($B47,"PX_ASK",$Q$10,J47,$M$9,M47),_xll.BDP($B47,"PX_"&amp;$H$7,$Q$9,J47,$M$9,M47)),_xll.BDP($B47,"PX_"&amp;$H$7,$Q$9,_xll.BDP(B47,"CPN"),$M$9,M47)))</f>
        <v>#VALUE!</v>
      </c>
      <c r="W47" s="254" t="str">
        <f t="shared" si="14"/>
        <v/>
      </c>
      <c r="X47" s="166" t="e">
        <f>IF(B47="","",IF(OR(AD47="SINKABLE",AD47="CALL/SINK"),_xll.BDP($B47,X$9,"fill=b","PRICING_SOURCE",$C$6,$AC47,$M$9,$M47,$N$9,$P47,$Q$10,$S47),_xll.BDP($B47,X$9,"fill=b","PRICING_SOURCE",$C$6,$AC47,$M$9,$M47,$N$9,$P47,$Q$9,$S47)))</f>
        <v>#VALUE!</v>
      </c>
      <c r="Y47" s="166" t="e">
        <f>IF(B47="","",IF(OR(AD47="SINKABLE",AD47="CALL/SINK"),_xll.BDP($B47,Y$9,"fill=b","PRICING_SOURCE",$C$6,$AC47,$M$9,$M47,$N$9,$P47,$Q$10,$S47),_xll.BDP($B47,Y$9,"fill=b","PRICING_SOURCE",$C$6,$AC47,$M$9,$M47,$N$9,$P47,$Q$9,$S47)))</f>
        <v>#VALUE!</v>
      </c>
      <c r="Z47" s="255" t="e">
        <f>IF(B47="","",IF(OR(AD47="SINKABLE",AD47="CALL/SINK"),_xll.BDP($B47,Z$9,"fill=b","PRICING_SOURCE",$C$6,$AC47,$M$9,$M47,$N$9,$P47,$Q$10,$S47),_xll.BDP($B47,Z$9,"fill=b","PRICING_SOURCE",$C$6,$AC47,$M$9,$M47,$N$9,$P47,$Q$9,$S47)))</f>
        <v>#VALUE!</v>
      </c>
      <c r="AA47" s="166" t="e">
        <f>IF(B47="","",IF(OR(AD47="SINKABLE",AD47="CALL/SINK"),_xll.BDP($B47,AA$9,"fill=b","PRICING_SOURCE",$C$6,$AC47,$M$9,$M47,$N$9,$P47,$Q$10,$S47),_xll.BDP($B47,AA$9,"fill=b","PRICING_SOURCE",$C$6,$AC47,$M$9,$M47,$N$9,$P47,$Q$9,$S47)))</f>
        <v>#VALUE!</v>
      </c>
      <c r="AB47" s="150" t="str" cm="1">
        <f t="array" ref="AB47">IF(B47="","",IF(LEFT(_xlfn.SINGLE(_xll.BDP($B47,AB$9,"fill=b")),1)="#","-",_xll.BDP($B47,AB$9,"fill=b")))</f>
        <v>7/15/2019</v>
      </c>
      <c r="AC47" s="150" t="str">
        <f t="shared" si="18"/>
        <v>YLD FLAG=28</v>
      </c>
      <c r="AD47" s="150" t="str" cm="1">
        <f t="array" ref="AD47">IF(B47="","",_xll.BDP($B47,AD$9,"fill=b"))</f>
        <v>SINKABLE</v>
      </c>
      <c r="AE47" s="256" cm="1">
        <f t="array" ref="AE47">IF(B47="","",IF(ISERROR(_xlfn.SINGLE(_xll.BDH(B47,"PX LAST",AN47,AN47,"DAYS=ALL","PRICING SOURCE",$C$6))*1),_xll.BDP(B47,"PAR AMT"),_xll.BDH(B47,"PX LAST",AN47,AN47,"DAYS=ALL","PRICING SOURCE",$C$6)))</f>
        <v>500</v>
      </c>
      <c r="AF47" s="150" cm="1">
        <f t="array" ref="AF47">IF(B47="","",_xll.BDP($B47,AF$9,"fill=b"))</f>
        <v>5.85</v>
      </c>
      <c r="AG47" s="150"/>
      <c r="AH47" s="190">
        <f>IF(B47="","",IF($AD47="AT MATURITY",$AB47*1,_xll.BADDPERIODS(_xll.BDP($B47,"issue dt"),"numberofperiods",TRUNC(_xll.BDP($B47,"YRS_TO_LONGEST_AVG_LIFE","YLD_YTM_BID",AF47,"SETTLE_DT",U47,AC47),0),"per=y")+(ROUND(MOD(_xll.BDP(B47,"YRS_TO_LONGEST_AVG_LIFE","YLD_YTM_BID",AF47,"SETTLE_DT",U47,AC47),1)*360,0))))</f>
        <v>64861</v>
      </c>
      <c r="AI47" s="150" t="e" cm="1">
        <f t="array" ref="AI47">IF(B47="","",AF47-_xll.BInterpol(_xll.BDP(_xll.BDS("YCGT0372 Index","curve members","CURVE_DATE", $U47,"endcol=1","array=true"),"maturity")*1,_xll.BDH(_xll.BDS("YCGT0372 Index","curve members","CURVE_DATE", $U47,"endcol=1","array=true"),"yld cnv mid",$U47,$U47,"days=all"),AH47,"CUBIC","Extrapolate=LINEAR","SKIP=TRUE","SORT=TRUE","MultiX=Average"))</f>
        <v>#VALUE!</v>
      </c>
      <c r="AJ47" s="189" t="str">
        <f t="shared" si="15"/>
        <v/>
      </c>
      <c r="AK47" s="257" t="str" cm="1">
        <f t="array" ref="AK47">IF(B47="","",_xll.BDP($B47,AK$9,"fill=b"))</f>
        <v>230.964MM</v>
      </c>
      <c r="AL47" s="257" t="str" cm="1">
        <f t="array" ref="AL47">IF(B47="","",_xll.BDP($B47,AL$9,"fill=b"))</f>
        <v>0</v>
      </c>
      <c r="AM47" s="256" cm="1">
        <f t="array" ref="AM47">IF(B47="","",_xll.BDP($B47,AM$9,"fill=b"))</f>
        <v>500</v>
      </c>
      <c r="AN47" s="150" t="str" cm="1">
        <f t="array" ref="AN47">IF(B47="","",_xll.BDP($B47,AN$9,"fill=b"))</f>
        <v>7/15/2012</v>
      </c>
      <c r="AO47" s="150" t="str" cm="1">
        <f t="array" ref="AO47">IF(B47="","",IF(LEFT(_xlfn.SINGLE(_xll.BDP($B47,AO$9,"fill=b")),1)="#","-",_xll.BDP($B47,AO$9,"fill=b")))</f>
        <v>JOINT LEADS</v>
      </c>
      <c r="AP47" s="150" t="str" cm="1">
        <f t="array" ref="AP47">IF(B47="","",_xll.BDP($B47,AP$9,"fill=b"))</f>
        <v>Financial</v>
      </c>
      <c r="AQ47" s="150" t="str" cm="1">
        <f t="array" ref="AQ47">IF(B47="","",_xll.BDP($B47,AQ$9,"fill=b"))</f>
        <v>Real Estate</v>
      </c>
      <c r="AR47" s="150" t="str" cm="1">
        <f t="array" ref="AR47">IF(B47="","",_xll.BDP($B47,AR$9,"fill=b"))</f>
        <v>NR</v>
      </c>
      <c r="AS47" s="150" t="str" cm="1">
        <f t="array" ref="AS47">IF(B47="","",_xll.BDP($B47,AS$9,"fill=b"))</f>
        <v/>
      </c>
      <c r="AT47" s="150" t="str" cm="1">
        <f t="array" ref="AT47">IF(B47="","",_xll.BDP($B47,AT$9,"fill=b"))</f>
        <v/>
      </c>
      <c r="AU47" s="258" t="str" cm="1">
        <f t="array" ref="AU47">IF(B47="","",_xll.BDP($B47,AU$9,"fill=b"))</f>
        <v>CPN = BZCLVLUE INDEX + 585BP</v>
      </c>
    </row>
    <row r="48" spans="2:47" ht="15" x14ac:dyDescent="0.25">
      <c r="B48" s="232" t="s">
        <v>318</v>
      </c>
      <c r="C48" s="150" t="str" cm="1">
        <f t="array" ref="C48">IF(B48="","",_xll.BDP($B48,C$9,"fill=b"))</f>
        <v>TAEE13</v>
      </c>
      <c r="D48" s="150" t="str" cm="1">
        <f t="array" ref="D48">IF(B48="","",_xll.BDP($B48,D$9,"fill=b"))</f>
        <v>TAEEBZ Float 10/15/17</v>
      </c>
      <c r="E48" s="150" t="str" cm="1">
        <f t="array" ref="E48">IF(B48="","",_xll.BDP($B48,E$9,"fill=b"))</f>
        <v>TRANSMISSORA ALIANCA EN</v>
      </c>
      <c r="F48" s="150" t="str" cm="1">
        <f t="array" ref="F48">IF(B48="","",IF(LEFT(_xlfn.SINGLE(_xll.BDP($B48,F$9,"fill=b")),1)="#","-",_xll.BDP($B48,F$9,"fill=b")))</f>
        <v>TAEE11 BZ</v>
      </c>
      <c r="G48" s="150" t="str" cm="1">
        <f t="array" ref="G48">IF(B48="","",_xll.BDP($B48,G$9,"fill=b"))</f>
        <v>BRAZIL DI+SPREAD</v>
      </c>
      <c r="H48" s="150" t="str" cm="1">
        <f t="array" ref="H48">IF(B48="","",_xll.BDP($B48,H$9,"fill=b"))</f>
        <v>OVRA BZDI +78.000</v>
      </c>
      <c r="I48" s="150" t="str" cm="1">
        <f t="array" ref="I48">IF(LEFT(_xlfn.SINGLE(_xll.BDP(B48,"REFERENCE_INDEX")),1)="#",IF(LEFT(_xlfn.SINGLE(_xll.BDP(B48, "RESET_IDX"))&amp;" Index",1)="#","",_xlfn.SINGLE(_xll.BDP(B48, "RESET_IDX"))&amp;" Index"),_xll.BDP(B48,"REFERENCE_INDEX"))</f>
        <v>BZDIOVRA Index</v>
      </c>
      <c r="J48" s="150" cm="1">
        <f t="array" ref="J48">IF(I48="BZDIOVRA Index",IF(_xlfn.SINGLE(_xll.BDP(B48,"FLT_SPREAD"))/100=0,_xll.BDP(B48,"FLT_BENCH_MULTIPLIER"),_xlfn.SINGLE(_xll.BDP(B48,"FLT_SPREAD"))/100),"")</f>
        <v>0.78</v>
      </c>
      <c r="K48" s="150" t="str" cm="1">
        <f t="array" ref="K48">IF(B48="","",IF(LEFT(_xlfn.SINGLE(_xll.BDP($B48,K$9,"fill=b")),1)="#","-",_xll.BDP($B48,K$9,"fill=b")))</f>
        <v>-</v>
      </c>
      <c r="L48" s="233"/>
      <c r="M48" s="234" t="e">
        <f t="shared" si="3"/>
        <v>#VALUE!</v>
      </c>
      <c r="N48" s="252" t="e">
        <f>IF(B48="","",IF(R48="",IF(OR(AD48="SINKABLE",AD48="CALL/SINK"),_xll.BDP(B48,$N$9,$M$9,M48,"PRICING SOURCE",$C$6,"FILL=B"),_xll.BDP(B48,$N$9,$M$9,M48,"PRICING SOURCE",$C$6,"FILL=B")),IF(OR(AD48="SINKABLE",AD48="CALL/SINK"),_xll.BDP(B48,$N$9,$Q$10,S48,$M$9,M48,"PRICING SOURCE",$C$6,"FILL=B"),_xll.BDP(B48,$N$9,$Q$9,S48,$M$9,M48,"PRICING SOURCE",$C$6,"FILL=B"))))</f>
        <v>#VALUE!</v>
      </c>
      <c r="O48" s="235"/>
      <c r="P48" s="236" t="e">
        <f t="shared" si="16"/>
        <v>#VALUE!</v>
      </c>
      <c r="Q48" s="166" t="str">
        <f>IF(ISERROR((IF(OR(AD48="SINKABLE",AD48="CALL/SINK"),_xll.BDP($B48,$Q$10,"fill=b","PRICING_SOURCE",$C$6,$AC48,$N$9,$P48,$M$9,$M48),_xll.BDP($B48,Q$9,"fill=b","PRICING_SOURCE",$C$6,$AC48,$N$9,$P48,$M$9,$M48)))*1),"",IF(OR(AD48="SINKABLE",AD48="CALL/SINK"),_xll.BDP($B48,$Q$10,"fill=b","PRICING_SOURCE",$C$6,$AC48,$N$9,$P48,$M$9,$M48),_xll.BDP($B48,Q$9,"fill=b","PRICING_SOURCE",$C$6,$AC48,$N$9,$P48,$M$9,$M48)))</f>
        <v/>
      </c>
      <c r="R48" s="237"/>
      <c r="S48" s="238" t="str">
        <f t="shared" si="17"/>
        <v/>
      </c>
      <c r="T48" s="239" cm="1">
        <f t="array" ref="T48">IF(ISERROR((_xlfn.SINGLE(IF(OR(AD48="SINKABLE",AD48="CALL/SINK"),_xll.BDP($B48,$Q$10,"fill=b","PRICING_SOURCE",$C$6,$AC48,$M$9,$U48,"px ask",$AE48),_xll.BDP($B48,Q$9,"fill=b","PRICING_SOURCE",$C$6,$AC48,$M$9,$U48,"px ask",$AE48))))*1),"",IF(OR(AD48="SINKABLE",AD48="CALL/SINK"),_xll.BDP($B48,$Q$10,"fill=b","PRICING_SOURCE",$C$6,$AC48,$M$9,$U48,"px ask",$AE48),_xll.BDP($B48,Q$9,"fill=b","PRICING_SOURCE",$C$6,$AC48,$M$9,$U48,"px ask",$AE48)))</f>
        <v>0.82777415766846119</v>
      </c>
      <c r="U48" s="240" t="str">
        <f t="shared" si="13"/>
        <v>20121015</v>
      </c>
      <c r="V48" s="254" t="e" cm="1">
        <f t="array" ref="V48">IF(B48="","",IF(I48="BZDIOVRA Index",IF(OR(AD48="SINKABLE",AD48="CALL/SINK"),_xll.BDP($B48,"PX_ASK",$Q$10,J48,$M$9,M48),_xll.BDP($B48,"PX_"&amp;$H$7,$Q$9,J48,$M$9,M48)),_xll.BDP($B48,"PX_"&amp;$H$7,$Q$9,_xll.BDP(B48,"CPN"),$M$9,M48)))</f>
        <v>#VALUE!</v>
      </c>
      <c r="W48" s="254" t="str">
        <f t="shared" si="14"/>
        <v/>
      </c>
      <c r="X48" s="166" t="e">
        <f>IF(B48="","",IF(OR(AD48="SINKABLE",AD48="CALL/SINK"),_xll.BDP($B48,X$9,"fill=b","PRICING_SOURCE",$C$6,$AC48,$M$9,$M48,$N$9,$P48,$Q$10,$S48),_xll.BDP($B48,X$9,"fill=b","PRICING_SOURCE",$C$6,$AC48,$M$9,$M48,$N$9,$P48,$Q$9,$S48)))</f>
        <v>#VALUE!</v>
      </c>
      <c r="Y48" s="166" t="e">
        <f>IF(B48="","",IF(OR(AD48="SINKABLE",AD48="CALL/SINK"),_xll.BDP($B48,Y$9,"fill=b","PRICING_SOURCE",$C$6,$AC48,$M$9,$M48,$N$9,$P48,$Q$10,$S48),_xll.BDP($B48,Y$9,"fill=b","PRICING_SOURCE",$C$6,$AC48,$M$9,$M48,$N$9,$P48,$Q$9,$S48)))</f>
        <v>#VALUE!</v>
      </c>
      <c r="Z48" s="255" t="e">
        <f>IF(B48="","",IF(OR(AD48="SINKABLE",AD48="CALL/SINK"),_xll.BDP($B48,Z$9,"fill=b","PRICING_SOURCE",$C$6,$AC48,$M$9,$M48,$N$9,$P48,$Q$10,$S48),_xll.BDP($B48,Z$9,"fill=b","PRICING_SOURCE",$C$6,$AC48,$M$9,$M48,$N$9,$P48,$Q$9,$S48)))</f>
        <v>#VALUE!</v>
      </c>
      <c r="AA48" s="166" t="e">
        <f>IF(B48="","",IF(OR(AD48="SINKABLE",AD48="CALL/SINK"),_xll.BDP($B48,AA$9,"fill=b","PRICING_SOURCE",$C$6,$AC48,$M$9,$M48,$N$9,$P48,$Q$10,$S48),_xll.BDP($B48,AA$9,"fill=b","PRICING_SOURCE",$C$6,$AC48,$M$9,$M48,$N$9,$P48,$Q$9,$S48)))</f>
        <v>#VALUE!</v>
      </c>
      <c r="AB48" s="150" t="str" cm="1">
        <f t="array" ref="AB48">IF(B48="","",IF(LEFT(_xlfn.SINGLE(_xll.BDP($B48,AB$9,"fill=b")),1)="#","-",_xll.BDP($B48,AB$9,"fill=b")))</f>
        <v>10/15/2017</v>
      </c>
      <c r="AC48" s="150" t="str">
        <f t="shared" si="18"/>
        <v>YLD FLAG=1</v>
      </c>
      <c r="AD48" s="150" t="str" cm="1">
        <f t="array" ref="AD48">IF(B48="","",_xll.BDP($B48,AD$9,"fill=b"))</f>
        <v>AT MATURITY</v>
      </c>
      <c r="AE48" s="256" cm="1">
        <f t="array" ref="AE48">IF(B48="","",IF(ISERROR(_xlfn.SINGLE(_xll.BDH(B48,"PX LAST",AN48,AN48,"DAYS=ALL","PRICING SOURCE",$C$6))*1),_xll.BDP(B48,"PAR AMT"),_xll.BDH(B48,"PX LAST",AN48,AN48,"DAYS=ALL","PRICING SOURCE",$C$6)))</f>
        <v>1000</v>
      </c>
      <c r="AF48" s="150" cm="1">
        <f t="array" ref="AF48">IF(B48="","",_xll.BDP($B48,AF$9,"fill=b"))</f>
        <v>12.1732336</v>
      </c>
      <c r="AG48" s="150"/>
      <c r="AH48" s="190">
        <f>IF(B48="","",IF($AD48="AT MATURITY",$AB48*1,_xll.BADDPERIODS(_xll.BDP($B48,"issue dt"),"numberofperiods",TRUNC(_xll.BDP($B48,"YRS_TO_LONGEST_AVG_LIFE","YLD_YTM_BID",AF48,"SETTLE_DT",U48,AC48),0),"per=y")+(ROUND(MOD(_xll.BDP(B48,"YRS_TO_LONGEST_AVG_LIFE","YLD_YTM_BID",AF48,"SETTLE_DT",U48,AC48),1)*360,0))))</f>
        <v>43023</v>
      </c>
      <c r="AI48" s="150" t="e" cm="1">
        <f t="array" ref="AI48">IF(B48="","",AF48-_xll.BInterpol(_xll.BDP(_xll.BDS("YCGT0372 Index","curve members","CURVE_DATE", $U48,"endcol=1","array=true"),"maturity")*1,_xll.BDH(_xll.BDS("YCGT0372 Index","curve members","CURVE_DATE", $U48,"endcol=1","array=true"),"yld cnv mid",$U48,$U48,"days=all"),AH48,"CUBIC","Extrapolate=LINEAR","SKIP=TRUE","SORT=TRUE","MultiX=Average"))</f>
        <v>#VALUE!</v>
      </c>
      <c r="AJ48" s="189">
        <f t="shared" si="15"/>
        <v>0.78</v>
      </c>
      <c r="AK48" s="257" t="str" cm="1">
        <f t="array" ref="AK48">IF(B48="","",_xll.BDP($B48,AK$9,"fill=b"))</f>
        <v>665MM</v>
      </c>
      <c r="AL48" s="257" t="str" cm="1">
        <f t="array" ref="AL48">IF(B48="","",_xll.BDP($B48,AL$9,"fill=b"))</f>
        <v>0</v>
      </c>
      <c r="AM48" s="256" cm="1">
        <f t="array" ref="AM48">IF(B48="","",_xll.BDP($B48,AM$9,"fill=b"))</f>
        <v>1000</v>
      </c>
      <c r="AN48" s="150" t="str" cm="1">
        <f t="array" ref="AN48">IF(B48="","",_xll.BDP($B48,AN$9,"fill=b"))</f>
        <v>10/15/2012</v>
      </c>
      <c r="AO48" s="150" t="str" cm="1">
        <f t="array" ref="AO48">IF(B48="","",IF(LEFT(_xlfn.SINGLE(_xll.BDP($B48,AO$9,"fill=b")),1)="#","-",_xll.BDP($B48,AO$9,"fill=b")))</f>
        <v>ITABBA</v>
      </c>
      <c r="AP48" s="150" t="str" cm="1">
        <f t="array" ref="AP48">IF(B48="","",_xll.BDP($B48,AP$9,"fill=b"))</f>
        <v>Utilities</v>
      </c>
      <c r="AQ48" s="150" t="str" cm="1">
        <f t="array" ref="AQ48">IF(B48="","",_xll.BDP($B48,AQ$9,"fill=b"))</f>
        <v>Electric</v>
      </c>
      <c r="AR48" s="150" t="str" cm="1">
        <f t="array" ref="AR48">IF(B48="","",_xll.BDP($B48,AR$9,"fill=b"))</f>
        <v>NR</v>
      </c>
      <c r="AS48" s="150" t="str" cm="1">
        <f t="array" ref="AS48">IF(B48="","",_xll.BDP($B48,AS$9,"fill=b"))</f>
        <v>WR</v>
      </c>
      <c r="AT48" s="150" t="str" cm="1">
        <f t="array" ref="AT48">IF(B48="","",_xll.BDP($B48,AT$9,"fill=b"))</f>
        <v>NR</v>
      </c>
      <c r="AU48" s="258" t="str" cm="1">
        <f t="array" ref="AU48">IF(B48="","",_xll.BDP($B48,AU$9,"fill=b"))</f>
        <v>CPN = BZDIOVRA INDEX + 78BP</v>
      </c>
    </row>
    <row r="49" spans="2:47" ht="15" x14ac:dyDescent="0.25">
      <c r="B49" s="232" t="s">
        <v>309</v>
      </c>
      <c r="C49" s="150" t="str" cm="1">
        <f t="array" ref="C49">IF(B49="","",_xll.BDP($B49,C$9,"fill=b"))</f>
        <v>ELSPA5</v>
      </c>
      <c r="D49" s="150" t="str" cm="1">
        <f t="array" ref="D49">IF(B49="","",_xll.BDP($B49,D$9,"fill=b"))</f>
        <v>ELPLBZ Float 10/09/18</v>
      </c>
      <c r="E49" s="150" t="str" cm="1">
        <f t="array" ref="E49">IF(B49="","",_xll.BDP($B49,E$9,"fill=b"))</f>
        <v>ELETRICIDADE SAO PAULO</v>
      </c>
      <c r="F49" s="150" t="str" cm="1">
        <f t="array" ref="F49">IF(B49="","",IF(LEFT(_xlfn.SINGLE(_xll.BDP($B49,F$9,"fill=b")),1)="#","-",_xll.BDP($B49,F$9,"fill=b")))</f>
        <v>ENEL IM</v>
      </c>
      <c r="G49" s="150" t="str" cm="1">
        <f t="array" ref="G49">IF(B49="","",_xll.BDP($B49,G$9,"fill=b"))</f>
        <v>BRAZIL DI+SPREAD</v>
      </c>
      <c r="H49" s="150" t="str" cm="1">
        <f t="array" ref="H49">IF(B49="","",_xll.BDP($B49,H$9,"fill=b"))</f>
        <v>OVRA BZDI +124.000</v>
      </c>
      <c r="I49" s="150" t="str" cm="1">
        <f t="array" ref="I49">IF(LEFT(_xlfn.SINGLE(_xll.BDP(B49,"REFERENCE_INDEX")),1)="#",IF(LEFT(_xlfn.SINGLE(_xll.BDP(B49, "RESET_IDX"))&amp;" Index",1)="#","",_xlfn.SINGLE(_xll.BDP(B49, "RESET_IDX"))&amp;" Index"),_xll.BDP(B49,"REFERENCE_INDEX"))</f>
        <v>BZDIOVRA Index</v>
      </c>
      <c r="J49" s="150" cm="1">
        <f t="array" ref="J49">IF(I49="BZDIOVRA Index",IF(_xlfn.SINGLE(_xll.BDP(B49,"FLT_SPREAD"))/100=0,_xll.BDP(B49,"FLT_BENCH_MULTIPLIER"),_xlfn.SINGLE(_xll.BDP(B49,"FLT_SPREAD"))/100),"")</f>
        <v>1.24</v>
      </c>
      <c r="K49" s="150" t="str" cm="1">
        <f t="array" ref="K49">IF(B49="","",IF(LEFT(_xlfn.SINGLE(_xll.BDP($B49,K$9,"fill=b")),1)="#","-",_xll.BDP($B49,K$9,"fill=b")))</f>
        <v>-</v>
      </c>
      <c r="L49" s="233"/>
      <c r="M49" s="234" t="e">
        <f t="shared" si="3"/>
        <v>#VALUE!</v>
      </c>
      <c r="N49" s="252" t="e">
        <f>IF(B49="","",IF(R49="",IF(OR(AD49="SINKABLE",AD49="CALL/SINK"),_xll.BDP(B49,$N$9,$M$9,M49,"PRICING SOURCE",$C$6,"FILL=B"),_xll.BDP(B49,$N$9,$M$9,M49,"PRICING SOURCE",$C$6,"FILL=B")),IF(OR(AD49="SINKABLE",AD49="CALL/SINK"),_xll.BDP(B49,$N$9,$Q$10,S49,$M$9,M49,"PRICING SOURCE",$C$6,"FILL=B"),_xll.BDP(B49,$N$9,$Q$9,S49,$M$9,M49,"PRICING SOURCE",$C$6,"FILL=B"))))</f>
        <v>#VALUE!</v>
      </c>
      <c r="O49" s="235"/>
      <c r="P49" s="236" t="e">
        <f t="shared" si="16"/>
        <v>#VALUE!</v>
      </c>
      <c r="Q49" s="166" t="str">
        <f>IF(ISERROR((IF(OR(AD49="SINKABLE",AD49="CALL/SINK"),_xll.BDP($B49,$Q$10,"fill=b","PRICING_SOURCE",$C$6,$AC49,$N$9,$P49,$M$9,$M49),_xll.BDP($B49,Q$9,"fill=b","PRICING_SOURCE",$C$6,$AC49,$N$9,$P49,$M$9,$M49)))*1),"",IF(OR(AD49="SINKABLE",AD49="CALL/SINK"),_xll.BDP($B49,$Q$10,"fill=b","PRICING_SOURCE",$C$6,$AC49,$N$9,$P49,$M$9,$M49),_xll.BDP($B49,Q$9,"fill=b","PRICING_SOURCE",$C$6,$AC49,$N$9,$P49,$M$9,$M49)))</f>
        <v/>
      </c>
      <c r="R49" s="237"/>
      <c r="S49" s="238" t="str">
        <f t="shared" si="17"/>
        <v/>
      </c>
      <c r="T49" s="239" cm="1">
        <f t="array" ref="T49">IF(ISERROR((_xlfn.SINGLE(IF(OR(AD49="SINKABLE",AD49="CALL/SINK"),_xll.BDP($B49,$Q$10,"fill=b","PRICING_SOURCE",$C$6,$AC49,$M$9,$U49,"px ask",$AE49),_xll.BDP($B49,Q$9,"fill=b","PRICING_SOURCE",$C$6,$AC49,$M$9,$U49,"px ask",$AE49))))*1),"",IF(OR(AD49="SINKABLE",AD49="CALL/SINK"),_xll.BDP($B49,$Q$10,"fill=b","PRICING_SOURCE",$C$6,$AC49,$M$9,$U49,"px ask",$AE49),_xll.BDP($B49,Q$9,"fill=b","PRICING_SOURCE",$C$6,$AC49,$M$9,$U49,"px ask",$AE49)))</f>
        <v>36.602869061370491</v>
      </c>
      <c r="U49" s="240" t="str">
        <f t="shared" si="13"/>
        <v>20121009</v>
      </c>
      <c r="V49" s="254" t="e" cm="1">
        <f t="array" ref="V49">IF(B49="","",IF(I49="BZDIOVRA Index",IF(OR(AD49="SINKABLE",AD49="CALL/SINK"),_xll.BDP($B49,"PX_ASK",$Q$10,J49,$M$9,M49),_xll.BDP($B49,"PX_"&amp;$H$7,$Q$9,J49,$M$9,M49)),_xll.BDP($B49,"PX_"&amp;$H$7,$Q$9,_xll.BDP(B49,"CPN"),$M$9,M49)))</f>
        <v>#VALUE!</v>
      </c>
      <c r="W49" s="254" t="str">
        <f t="shared" si="14"/>
        <v/>
      </c>
      <c r="X49" s="166" t="e">
        <f>IF(B49="","",IF(OR(AD49="SINKABLE",AD49="CALL/SINK"),_xll.BDP($B49,X$9,"fill=b","PRICING_SOURCE",$C$6,$AC49,$M$9,$M49,$N$9,$P49,$Q$10,$S49),_xll.BDP($B49,X$9,"fill=b","PRICING_SOURCE",$C$6,$AC49,$M$9,$M49,$N$9,$P49,$Q$9,$S49)))</f>
        <v>#VALUE!</v>
      </c>
      <c r="Y49" s="166" t="e">
        <f>IF(B49="","",IF(OR(AD49="SINKABLE",AD49="CALL/SINK"),_xll.BDP($B49,Y$9,"fill=b","PRICING_SOURCE",$C$6,$AC49,$M$9,$M49,$N$9,$P49,$Q$10,$S49),_xll.BDP($B49,Y$9,"fill=b","PRICING_SOURCE",$C$6,$AC49,$M$9,$M49,$N$9,$P49,$Q$9,$S49)))</f>
        <v>#VALUE!</v>
      </c>
      <c r="Z49" s="255" t="e">
        <f>IF(B49="","",IF(OR(AD49="SINKABLE",AD49="CALL/SINK"),_xll.BDP($B49,Z$9,"fill=b","PRICING_SOURCE",$C$6,$AC49,$M$9,$M49,$N$9,$P49,$Q$10,$S49),_xll.BDP($B49,Z$9,"fill=b","PRICING_SOURCE",$C$6,$AC49,$M$9,$M49,$N$9,$P49,$Q$9,$S49)))</f>
        <v>#VALUE!</v>
      </c>
      <c r="AA49" s="166" t="e">
        <f>IF(B49="","",IF(OR(AD49="SINKABLE",AD49="CALL/SINK"),_xll.BDP($B49,AA$9,"fill=b","PRICING_SOURCE",$C$6,$AC49,$M$9,$M49,$N$9,$P49,$Q$10,$S49),_xll.BDP($B49,AA$9,"fill=b","PRICING_SOURCE",$C$6,$AC49,$M$9,$M49,$N$9,$P49,$Q$9,$S49)))</f>
        <v>#VALUE!</v>
      </c>
      <c r="AB49" s="150" t="str" cm="1">
        <f t="array" ref="AB49">IF(B49="","",IF(LEFT(_xlfn.SINGLE(_xll.BDP($B49,AB$9,"fill=b")),1)="#","-",_xll.BDP($B49,AB$9,"fill=b")))</f>
        <v>10/9/2018</v>
      </c>
      <c r="AC49" s="150" t="str">
        <f t="shared" si="18"/>
        <v>YLD FLAG=28</v>
      </c>
      <c r="AD49" s="150" t="str" cm="1">
        <f t="array" ref="AD49">IF(B49="","",_xll.BDP($B49,AD$9,"fill=b"))</f>
        <v>SINKABLE</v>
      </c>
      <c r="AE49" s="256" cm="1">
        <f t="array" ref="AE49">IF(B49="","",IF(ISERROR(_xlfn.SINGLE(_xll.BDH(B49,"PX LAST",AN49,AN49,"DAYS=ALL","PRICING SOURCE",$C$6))*1),_xll.BDP(B49,"PAR AMT"),_xll.BDH(B49,"PX LAST",AN49,AN49,"DAYS=ALL","PRICING SOURCE",$C$6)))</f>
        <v>3334</v>
      </c>
      <c r="AF49" s="150" cm="1">
        <f t="array" ref="AF49">IF(B49="","",_xll.BDP($B49,AF$9,"fill=b"))</f>
        <v>3.8444871925599999</v>
      </c>
      <c r="AG49" s="150"/>
      <c r="AH49" s="190">
        <f>IF(B49="","",IF($AD49="AT MATURITY",$AB49*1,_xll.BADDPERIODS(_xll.BDP($B49,"issue dt"),"numberofperiods",TRUNC(_xll.BDP($B49,"YRS_TO_LONGEST_AVG_LIFE","YLD_YTM_BID",AF49,"SETTLE_DT",U49,AC49),0),"per=y")+(ROUND(MOD(_xll.BDP(B49,"YRS_TO_LONGEST_AVG_LIFE","YLD_YTM_BID",AF49,"SETTLE_DT",U49,AC49),1)*360,0))))</f>
        <v>43018</v>
      </c>
      <c r="AI49" s="150" t="e" cm="1">
        <f t="array" ref="AI49">IF(B49="","",AF49-_xll.BInterpol(_xll.BDP(_xll.BDS("YCGT0372 Index","curve members","CURVE_DATE", $U49,"endcol=1","array=true"),"maturity")*1,_xll.BDH(_xll.BDS("YCGT0372 Index","curve members","CURVE_DATE", $U49,"endcol=1","array=true"),"yld cnv mid",$U49,$U49,"days=all"),AH49,"CUBIC","Extrapolate=LINEAR","SKIP=TRUE","SORT=TRUE","MultiX=Average"))</f>
        <v>#VALUE!</v>
      </c>
      <c r="AJ49" s="189">
        <f t="shared" si="15"/>
        <v>1.24</v>
      </c>
      <c r="AK49" s="257" t="str" cm="1">
        <f t="array" ref="AK49">IF(B49="","",_xll.BDP($B49,AK$9,"fill=b"))</f>
        <v>750MM</v>
      </c>
      <c r="AL49" s="257" t="str" cm="1">
        <f t="array" ref="AL49">IF(B49="","",_xll.BDP($B49,AL$9,"fill=b"))</f>
        <v>0</v>
      </c>
      <c r="AM49" s="256" cm="1">
        <f t="array" ref="AM49">IF(B49="","",_xll.BDP($B49,AM$9,"fill=b"))</f>
        <v>3334</v>
      </c>
      <c r="AN49" s="150" t="str" cm="1">
        <f t="array" ref="AN49">IF(B49="","",_xll.BDP($B49,AN$9,"fill=b"))</f>
        <v>10/9/2012</v>
      </c>
      <c r="AO49" s="150" t="str" cm="1">
        <f t="array" ref="AO49">IF(B49="","",IF(LEFT(_xlfn.SINGLE(_xll.BDP($B49,AO$9,"fill=b")),1)="#","-",_xll.BDP($B49,AO$9,"fill=b")))</f>
        <v>BBBBI,ITABBA</v>
      </c>
      <c r="AP49" s="150" t="str" cm="1">
        <f t="array" ref="AP49">IF(B49="","",_xll.BDP($B49,AP$9,"fill=b"))</f>
        <v>Utilities</v>
      </c>
      <c r="AQ49" s="150" t="str" cm="1">
        <f t="array" ref="AQ49">IF(B49="","",_xll.BDP($B49,AQ$9,"fill=b"))</f>
        <v>Electric</v>
      </c>
      <c r="AR49" s="150" t="str" cm="1">
        <f t="array" ref="AR49">IF(B49="","",_xll.BDP($B49,AR$9,"fill=b"))</f>
        <v/>
      </c>
      <c r="AS49" s="150" t="str" cm="1">
        <f t="array" ref="AS49">IF(B49="","",_xll.BDP($B49,AS$9,"fill=b"))</f>
        <v>WR</v>
      </c>
      <c r="AT49" s="150" t="str" cm="1">
        <f t="array" ref="AT49">IF(B49="","",_xll.BDP($B49,AT$9,"fill=b"))</f>
        <v>NR</v>
      </c>
      <c r="AU49" s="258" t="str" cm="1">
        <f t="array" ref="AU49">IF(B49="","",_xll.BDP($B49,AU$9,"fill=b"))</f>
        <v>CPN = BZDIOVRA INDEX + 124 BPS</v>
      </c>
    </row>
    <row r="50" spans="2:47" ht="15" x14ac:dyDescent="0.25">
      <c r="B50" s="232" t="s">
        <v>260</v>
      </c>
      <c r="C50" s="150" t="str" cm="1">
        <f t="array" ref="C50">IF(B50="","",_xll.BDP($B50,C$9,"fill=b"))</f>
        <v>ECCR22</v>
      </c>
      <c r="D50" s="150" t="str" cm="1">
        <f t="array" ref="D50">IF(B50="","",_xll.BDP($B50,D$9,"fill=b"))</f>
        <v>ECORBZ 5 10/15/19</v>
      </c>
      <c r="E50" s="150" t="str" cm="1">
        <f t="array" ref="E50">IF(B50="","",_xll.BDP($B50,E$9,"fill=b"))</f>
        <v>ECORODOVIAS INFRAESTRUTU</v>
      </c>
      <c r="F50" s="150" t="str" cm="1">
        <f t="array" ref="F50">IF(B50="","",IF(LEFT(_xlfn.SINGLE(_xll.BDP($B50,F$9,"fill=b")),1)="#","-",_xll.BDP($B50,F$9,"fill=b")))</f>
        <v>1204213D IM</v>
      </c>
      <c r="G50" s="150" t="str" cm="1">
        <f t="array" ref="G50">IF(B50="","",_xll.BDP($B50,G$9,"fill=b"))</f>
        <v>BRAZIL IPCA+SPREAD</v>
      </c>
      <c r="H50" s="150" t="str" cm="1">
        <f t="array" ref="H50">IF(B50="","",_xll.BDP($B50,H$9,"fill=b"))</f>
        <v/>
      </c>
      <c r="I50" s="150" t="str" cm="1">
        <f t="array" ref="I50">IF(LEFT(_xlfn.SINGLE(_xll.BDP(B50,"REFERENCE_INDEX")),1)="#",IF(LEFT(_xlfn.SINGLE(_xll.BDP(B50, "RESET_IDX"))&amp;" Index",1)="#","",_xlfn.SINGLE(_xll.BDP(B50, "RESET_IDX"))&amp;" Index"),_xll.BDP(B50,"REFERENCE_INDEX"))</f>
        <v>BZCLVLUE Index</v>
      </c>
      <c r="J50" s="150" t="str">
        <f>IF(I50="BZDIOVRA Index",IF(_xll.BDP(B50,"FLT_SPREAD")/100=0,_xll.BDP(B50,"FLT_BENCH_MULTIPLIER"),_xll.BDP(B50,"FLT_SPREAD")/100),"")</f>
        <v/>
      </c>
      <c r="K50" s="150" t="str" cm="1">
        <f t="array" ref="K50">IF(B50="","",IF(LEFT(_xlfn.SINGLE(_xll.BDP($B50,K$9,"fill=b")),1)="#","-",_xll.BDP($B50,K$9,"fill=b")))</f>
        <v>-</v>
      </c>
      <c r="L50" s="233"/>
      <c r="M50" s="234" t="e">
        <f t="shared" si="3"/>
        <v>#VALUE!</v>
      </c>
      <c r="N50" s="252" t="e">
        <f>IF(B50="","",IF(R50="",IF(OR(AD50="SINKABLE",AD50="CALL/SINK"),_xll.BDP(B50,$N$9,$M$9,M50,"PRICING SOURCE",$C$6,"FILL=B"),_xll.BDP(B50,$N$9,$M$9,M50,"PRICING SOURCE",$C$6,"FILL=B")),IF(OR(AD50="SINKABLE",AD50="CALL/SINK"),_xll.BDP(B50,$N$9,$Q$10,S50,$M$9,M50,"PRICING SOURCE",$C$6,"FILL=B"),_xll.BDP(B50,$N$9,$Q$9,S50,$M$9,M50,"PRICING SOURCE",$C$6,"FILL=B"))))</f>
        <v>#VALUE!</v>
      </c>
      <c r="O50" s="235"/>
      <c r="P50" s="236" t="e">
        <f t="shared" si="16"/>
        <v>#VALUE!</v>
      </c>
      <c r="Q50" s="166" t="str">
        <f>IF(ISERROR((IF(OR(AD50="SINKABLE",AD50="CALL/SINK"),_xll.BDP($B50,$Q$10,"fill=b","PRICING_SOURCE",$C$6,$AC50,$N$9,$P50,$M$9,$M50),_xll.BDP($B50,Q$9,"fill=b","PRICING_SOURCE",$C$6,$AC50,$N$9,$P50,$M$9,$M50)))*1),"",IF(OR(AD50="SINKABLE",AD50="CALL/SINK"),_xll.BDP($B50,$Q$10,"fill=b","PRICING_SOURCE",$C$6,$AC50,$N$9,$P50,$M$9,$M50),_xll.BDP($B50,Q$9,"fill=b","PRICING_SOURCE",$C$6,$AC50,$N$9,$P50,$M$9,$M50)))</f>
        <v/>
      </c>
      <c r="R50" s="237"/>
      <c r="S50" s="238" t="str">
        <f t="shared" si="17"/>
        <v/>
      </c>
      <c r="T50" s="239" cm="1">
        <f t="array" ref="T50">IF(ISERROR((_xlfn.SINGLE(IF(OR(AD50="SINKABLE",AD50="CALL/SINK"),_xll.BDP($B50,$Q$10,"fill=b","PRICING_SOURCE",$C$6,$AC50,$M$9,$U50,"px ask",$AE50),_xll.BDP($B50,Q$9,"fill=b","PRICING_SOURCE",$C$6,$AC50,$M$9,$U50,"px ask",$AE50))))*1),"",IF(OR(AD50="SINKABLE",AD50="CALL/SINK"),_xll.BDP($B50,$Q$10,"fill=b","PRICING_SOURCE",$C$6,$AC50,$M$9,$U50,"px ask",$AE50),_xll.BDP($B50,Q$9,"fill=b","PRICING_SOURCE",$C$6,$AC50,$M$9,$U50,"px ask",$AE50)))</f>
        <v>71.236407192228668</v>
      </c>
      <c r="U50" s="240" t="str">
        <f t="shared" si="13"/>
        <v>20121015</v>
      </c>
      <c r="V50" s="254" t="e" cm="1">
        <f t="array" ref="V50">IF(B50="","",IF(I50="BZDIOVRA Index",IF(OR(AD50="SINKABLE",AD50="CALL/SINK"),_xll.BDP($B50,"PX_ASK",$Q$10,J50,$M$9,M50),_xll.BDP($B50,"PX_"&amp;$H$7,$Q$9,J50,$M$9,M50)),_xll.BDP($B50,"PX_"&amp;$H$7,$Q$9,_xll.BDP(B50,"CPN"),$M$9,M50)))</f>
        <v>#VALUE!</v>
      </c>
      <c r="W50" s="254" t="str">
        <f t="shared" si="14"/>
        <v/>
      </c>
      <c r="X50" s="166" t="e">
        <f>IF(B50="","",IF(OR(AD50="SINKABLE",AD50="CALL/SINK"),_xll.BDP($B50,X$9,"fill=b","PRICING_SOURCE",$C$6,$AC50,$M$9,$M50,$N$9,$P50,$Q$10,$S50),_xll.BDP($B50,X$9,"fill=b","PRICING_SOURCE",$C$6,$AC50,$M$9,$M50,$N$9,$P50,$Q$9,$S50)))</f>
        <v>#VALUE!</v>
      </c>
      <c r="Y50" s="166" t="e">
        <f>IF(B50="","",IF(OR(AD50="SINKABLE",AD50="CALL/SINK"),_xll.BDP($B50,Y$9,"fill=b","PRICING_SOURCE",$C$6,$AC50,$M$9,$M50,$N$9,$P50,$Q$10,$S50),_xll.BDP($B50,Y$9,"fill=b","PRICING_SOURCE",$C$6,$AC50,$M$9,$M50,$N$9,$P50,$Q$9,$S50)))</f>
        <v>#VALUE!</v>
      </c>
      <c r="Z50" s="255" t="e">
        <f>IF(B50="","",IF(OR(AD50="SINKABLE",AD50="CALL/SINK"),_xll.BDP($B50,Z$9,"fill=b","PRICING_SOURCE",$C$6,$AC50,$M$9,$M50,$N$9,$P50,$Q$10,$S50),_xll.BDP($B50,Z$9,"fill=b","PRICING_SOURCE",$C$6,$AC50,$M$9,$M50,$N$9,$P50,$Q$9,$S50)))</f>
        <v>#VALUE!</v>
      </c>
      <c r="AA50" s="166" t="e">
        <f>IF(B50="","",IF(OR(AD50="SINKABLE",AD50="CALL/SINK"),_xll.BDP($B50,AA$9,"fill=b","PRICING_SOURCE",$C$6,$AC50,$M$9,$M50,$N$9,$P50,$Q$10,$S50),_xll.BDP($B50,AA$9,"fill=b","PRICING_SOURCE",$C$6,$AC50,$M$9,$M50,$N$9,$P50,$Q$9,$S50)))</f>
        <v>#VALUE!</v>
      </c>
      <c r="AB50" s="150" t="str" cm="1">
        <f t="array" ref="AB50">IF(B50="","",IF(LEFT(_xlfn.SINGLE(_xll.BDP($B50,AB$9,"fill=b")),1)="#","-",_xll.BDP($B50,AB$9,"fill=b")))</f>
        <v>10/15/2019</v>
      </c>
      <c r="AC50" s="150" t="str">
        <f t="shared" si="18"/>
        <v>YLD FLAG=28</v>
      </c>
      <c r="AD50" s="150" t="str" cm="1">
        <f t="array" ref="AD50">IF(B50="","",_xll.BDP($B50,AD$9,"fill=b"))</f>
        <v>SINKABLE</v>
      </c>
      <c r="AE50" s="256" cm="1">
        <f t="array" ref="AE50">IF(B50="","",IF(ISERROR(_xlfn.SINGLE(_xll.BDH(B50,"PX LAST",AN50,AN50,"DAYS=ALL","PRICING SOURCE",$C$6))*1),_xll.BDP(B50,"PAR AMT"),_xll.BDH(B50,"PX LAST",AN50,AN50,"DAYS=ALL","PRICING SOURCE",$C$6)))</f>
        <v>5000</v>
      </c>
      <c r="AF50" s="150" cm="1">
        <f t="array" ref="AF50">IF(B50="","",_xll.BDP($B50,AF$9,"fill=b"))</f>
        <v>5</v>
      </c>
      <c r="AG50" s="150"/>
      <c r="AH50" s="190" t="e">
        <f>IF(B50="","",IF($AD50="AT MATURITY",$AB50*1,_xll.BADDPERIODS(_xll.BDP($B50,"issue dt"),"numberofperiods",TRUNC(_xll.BDP($B50,"YRS_TO_LONGEST_AVG_LIFE","YLD_YTM_BID",AF50,"SETTLE_DT",U50,AC50),0),"per=y")+(ROUND(MOD(_xll.BDP(B50,"YRS_TO_LONGEST_AVG_LIFE","YLD_YTM_BID",AF50,"SETTLE_DT",U50,AC50),1)*360,0))))</f>
        <v>#VALUE!</v>
      </c>
      <c r="AI50" s="150" t="e" cm="1">
        <f t="array" ref="AI50">IF(B50="","",AF50-_xll.BInterpol(_xll.BDP(_xll.BDS("YCGT0372 Index","curve members","CURVE_DATE", $U50,"endcol=1","array=true"),"maturity")*1,_xll.BDH(_xll.BDS("YCGT0372 Index","curve members","CURVE_DATE", $U50,"endcol=1","array=true"),"yld cnv mid",$U50,$U50,"days=all"),AH50,"CUBIC","Extrapolate=LINEAR","SKIP=TRUE","SORT=TRUE","MultiX=Average"))</f>
        <v>#VALUE!</v>
      </c>
      <c r="AJ50" s="189" t="str">
        <f t="shared" si="15"/>
        <v/>
      </c>
      <c r="AK50" s="257" t="str" cm="1">
        <f t="array" ref="AK50">IF(B50="","",_xll.BDP($B50,AK$9,"fill=b"))</f>
        <v>160MM</v>
      </c>
      <c r="AL50" s="257" t="str" cm="1">
        <f t="array" ref="AL50">IF(B50="","",_xll.BDP($B50,AL$9,"fill=b"))</f>
        <v>0</v>
      </c>
      <c r="AM50" s="256" cm="1">
        <f t="array" ref="AM50">IF(B50="","",_xll.BDP($B50,AM$9,"fill=b"))</f>
        <v>5000</v>
      </c>
      <c r="AN50" s="150" t="str" cm="1">
        <f t="array" ref="AN50">IF(B50="","",_xll.BDP($B50,AN$9,"fill=b"))</f>
        <v>10/15/2012</v>
      </c>
      <c r="AO50" s="150" t="str" cm="1">
        <f t="array" ref="AO50">IF(B50="","",IF(LEFT(_xlfn.SINGLE(_xll.BDP($B50,AO$9,"fill=b")),1)="#","-",_xll.BDP($B50,AO$9,"fill=b")))</f>
        <v>JOINT LEADS</v>
      </c>
      <c r="AP50" s="150" t="str" cm="1">
        <f t="array" ref="AP50">IF(B50="","",_xll.BDP($B50,AP$9,"fill=b"))</f>
        <v>Consumer, Non-cyclical</v>
      </c>
      <c r="AQ50" s="150" t="str" cm="1">
        <f t="array" ref="AQ50">IF(B50="","",_xll.BDP($B50,AQ$9,"fill=b"))</f>
        <v>Commercial Services</v>
      </c>
      <c r="AR50" s="150" t="str" cm="1">
        <f t="array" ref="AR50">IF(B50="","",_xll.BDP($B50,AR$9,"fill=b"))</f>
        <v/>
      </c>
      <c r="AS50" s="150" t="str" cm="1">
        <f t="array" ref="AS50">IF(B50="","",_xll.BDP($B50,AS$9,"fill=b"))</f>
        <v/>
      </c>
      <c r="AT50" s="150" t="str" cm="1">
        <f t="array" ref="AT50">IF(B50="","",_xll.BDP($B50,AT$9,"fill=b"))</f>
        <v/>
      </c>
      <c r="AU50" s="258" t="str" cm="1">
        <f t="array" ref="AU50">IF(B50="","",_xll.BDP($B50,AU$9,"fill=b"))</f>
        <v>CPN = BZCLVLUE INDEX + 500 BPS.</v>
      </c>
    </row>
    <row r="51" spans="2:47" ht="15" x14ac:dyDescent="0.25">
      <c r="B51" s="232" t="s">
        <v>315</v>
      </c>
      <c r="C51" s="150" t="str" cm="1">
        <f t="array" ref="C51">IF(B51="","",_xll.BDP($B51,C$9,"fill=b"))</f>
        <v>TPIS14</v>
      </c>
      <c r="D51" s="150" t="str" cm="1">
        <f t="array" ref="D51">IF(B51="","",_xll.BDP($B51,D$9,"fill=b"))</f>
        <v>TRIUNF Float 10/15/17</v>
      </c>
      <c r="E51" s="150" t="str" cm="1">
        <f t="array" ref="E51">IF(B51="","",_xll.BDP($B51,E$9,"fill=b"))</f>
        <v>TRIUNFO PARTICIPACOES E</v>
      </c>
      <c r="F51" s="150" t="str" cm="1">
        <f t="array" ref="F51">IF(B51="","",IF(LEFT(_xlfn.SINGLE(_xll.BDP($B51,F$9,"fill=b")),1)="#","-",_xll.BDP($B51,F$9,"fill=b")))</f>
        <v>0848187D BZ</v>
      </c>
      <c r="G51" s="150" t="str" cm="1">
        <f t="array" ref="G51">IF(B51="","",_xll.BDP($B51,G$9,"fill=b"))</f>
        <v>NO CALC-FLOATERS</v>
      </c>
      <c r="H51" s="150" t="str" cm="1">
        <f t="array" ref="H51">IF(B51="","",_xll.BDP($B51,H$9,"fill=b"))</f>
        <v>OVRA BZDI +220.000</v>
      </c>
      <c r="I51" s="150" t="str" cm="1">
        <f t="array" ref="I51">IF(LEFT(_xlfn.SINGLE(_xll.BDP(B51,"REFERENCE_INDEX")),1)="#",IF(LEFT(_xlfn.SINGLE(_xll.BDP(B51, "RESET_IDX"))&amp;" Index",1)="#","",_xlfn.SINGLE(_xll.BDP(B51, "RESET_IDX"))&amp;" Index"),_xll.BDP(B51,"REFERENCE_INDEX"))</f>
        <v>BZDIOVRA Index</v>
      </c>
      <c r="J51" s="150" cm="1">
        <f t="array" ref="J51">IF(I51="BZDIOVRA Index",IF(_xlfn.SINGLE(_xll.BDP(B51,"FLT_SPREAD"))/100=0,_xll.BDP(B51,"FLT_BENCH_MULTIPLIER"),_xlfn.SINGLE(_xll.BDP(B51,"FLT_SPREAD"))/100),"")</f>
        <v>2.2000000000000002</v>
      </c>
      <c r="K51" s="150" t="str" cm="1">
        <f t="array" ref="K51">IF(B51="","",IF(LEFT(_xlfn.SINGLE(_xll.BDP($B51,K$9,"fill=b")),1)="#","-",_xll.BDP($B51,K$9,"fill=b")))</f>
        <v>-</v>
      </c>
      <c r="L51" s="233"/>
      <c r="M51" s="234" t="e">
        <f t="shared" si="3"/>
        <v>#VALUE!</v>
      </c>
      <c r="N51" s="252" t="e">
        <f>IF(B51="","",IF(R51="",IF(OR(AD51="SINKABLE",AD51="CALL/SINK"),_xll.BDP(B51,$N$9,$M$9,M51,"PRICING SOURCE",$C$6,"FILL=B"),_xll.BDP(B51,$N$9,$M$9,M51,"PRICING SOURCE",$C$6,"FILL=B")),IF(OR(AD51="SINKABLE",AD51="CALL/SINK"),_xll.BDP(B51,$N$9,$Q$10,S51,$M$9,M51,"PRICING SOURCE",$C$6,"FILL=B"),_xll.BDP(B51,$N$9,$Q$9,S51,$M$9,M51,"PRICING SOURCE",$C$6,"FILL=B"))))</f>
        <v>#VALUE!</v>
      </c>
      <c r="O51" s="235"/>
      <c r="P51" s="236" t="e">
        <f t="shared" si="16"/>
        <v>#VALUE!</v>
      </c>
      <c r="Q51" s="166" t="str">
        <f>IF(ISERROR((IF(OR(AD51="SINKABLE",AD51="CALL/SINK"),_xll.BDP($B51,$Q$10,"fill=b","PRICING_SOURCE",$C$6,$AC51,$N$9,$P51,$M$9,$M51),_xll.BDP($B51,Q$9,"fill=b","PRICING_SOURCE",$C$6,$AC51,$N$9,$P51,$M$9,$M51)))*1),"",IF(OR(AD51="SINKABLE",AD51="CALL/SINK"),_xll.BDP($B51,$Q$10,"fill=b","PRICING_SOURCE",$C$6,$AC51,$N$9,$P51,$M$9,$M51),_xll.BDP($B51,Q$9,"fill=b","PRICING_SOURCE",$C$6,$AC51,$N$9,$P51,$M$9,$M51)))</f>
        <v/>
      </c>
      <c r="R51" s="237"/>
      <c r="S51" s="238" t="str">
        <f t="shared" si="17"/>
        <v/>
      </c>
      <c r="T51" s="239" cm="1">
        <f t="array" ref="T51">IF(ISERROR((_xlfn.SINGLE(IF(OR(AD51="SINKABLE",AD51="CALL/SINK"),_xll.BDP($B51,$Q$10,"fill=b","PRICING_SOURCE",$C$6,$AC51,$M$9,$U51,"px ask",$AE51),_xll.BDP($B51,Q$9,"fill=b","PRICING_SOURCE",$C$6,$AC51,$M$9,$U51,"px ask",$AE51))))*1),"",IF(OR(AD51="SINKABLE",AD51="CALL/SINK"),_xll.BDP($B51,$Q$10,"fill=b","PRICING_SOURCE",$C$6,$AC51,$M$9,$U51,"px ask",$AE51),_xll.BDP($B51,Q$9,"fill=b","PRICING_SOURCE",$C$6,$AC51,$M$9,$U51,"px ask",$AE51)))</f>
        <v>7.04</v>
      </c>
      <c r="U51" s="240" t="str">
        <f t="shared" si="13"/>
        <v>20121015</v>
      </c>
      <c r="V51" s="254" t="e" cm="1">
        <f t="array" ref="V51">IF(B51="","",IF(I51="BZDIOVRA Index",IF(OR(AD51="SINKABLE",AD51="CALL/SINK"),_xll.BDP($B51,"PX_ASK",$Q$10,J51,$M$9,M51),_xll.BDP($B51,"PX_"&amp;$H$7,$Q$9,J51,$M$9,M51)),_xll.BDP($B51,"PX_"&amp;$H$7,$Q$9,_xll.BDP(B51,"CPN"),$M$9,M51)))</f>
        <v>#VALUE!</v>
      </c>
      <c r="W51" s="254" t="str">
        <f t="shared" si="14"/>
        <v/>
      </c>
      <c r="X51" s="166" t="e">
        <f>IF(B51="","",IF(OR(AD51="SINKABLE",AD51="CALL/SINK"),_xll.BDP($B51,X$9,"fill=b","PRICING_SOURCE",$C$6,$AC51,$M$9,$M51,$N$9,$P51,$Q$10,$S51),_xll.BDP($B51,X$9,"fill=b","PRICING_SOURCE",$C$6,$AC51,$M$9,$M51,$N$9,$P51,$Q$9,$S51)))</f>
        <v>#VALUE!</v>
      </c>
      <c r="Y51" s="166" t="e">
        <f>IF(B51="","",IF(OR(AD51="SINKABLE",AD51="CALL/SINK"),_xll.BDP($B51,Y$9,"fill=b","PRICING_SOURCE",$C$6,$AC51,$M$9,$M51,$N$9,$P51,$Q$10,$S51),_xll.BDP($B51,Y$9,"fill=b","PRICING_SOURCE",$C$6,$AC51,$M$9,$M51,$N$9,$P51,$Q$9,$S51)))</f>
        <v>#VALUE!</v>
      </c>
      <c r="Z51" s="255" t="e">
        <f>IF(B51="","",IF(OR(AD51="SINKABLE",AD51="CALL/SINK"),_xll.BDP($B51,Z$9,"fill=b","PRICING_SOURCE",$C$6,$AC51,$M$9,$M51,$N$9,$P51,$Q$10,$S51),_xll.BDP($B51,Z$9,"fill=b","PRICING_SOURCE",$C$6,$AC51,$M$9,$M51,$N$9,$P51,$Q$9,$S51)))</f>
        <v>#VALUE!</v>
      </c>
      <c r="AA51" s="166" t="e">
        <f>IF(B51="","",IF(OR(AD51="SINKABLE",AD51="CALL/SINK"),_xll.BDP($B51,AA$9,"fill=b","PRICING_SOURCE",$C$6,$AC51,$M$9,$M51,$N$9,$P51,$Q$10,$S51),_xll.BDP($B51,AA$9,"fill=b","PRICING_SOURCE",$C$6,$AC51,$M$9,$M51,$N$9,$P51,$Q$9,$S51)))</f>
        <v>#VALUE!</v>
      </c>
      <c r="AB51" s="150" t="str" cm="1">
        <f t="array" ref="AB51">IF(B51="","",IF(LEFT(_xlfn.SINGLE(_xll.BDP($B51,AB$9,"fill=b")),1)="#","-",_xll.BDP($B51,AB$9,"fill=b")))</f>
        <v>10/15/2017</v>
      </c>
      <c r="AC51" s="150" t="str">
        <f t="shared" si="18"/>
        <v>YLD FLAG=28</v>
      </c>
      <c r="AD51" s="150" t="str" cm="1">
        <f t="array" ref="AD51">IF(B51="","",_xll.BDP($B51,AD$9,"fill=b"))</f>
        <v>SINKABLE</v>
      </c>
      <c r="AE51" s="256" cm="1">
        <f t="array" ref="AE51">IF(B51="","",IF(ISERROR(_xlfn.SINGLE(_xll.BDH(B51,"PX LAST",AN51,AN51,"DAYS=ALL","PRICING SOURCE",$C$6))*1),_xll.BDP(B51,"PAR AMT"),_xll.BDH(B51,"PX LAST",AN51,AN51,"DAYS=ALL","PRICING SOURCE",$C$6)))</f>
        <v>6667</v>
      </c>
      <c r="AF51" s="150" t="str" cm="1">
        <f t="array" ref="AF51">IF(B51="","",_xll.BDP($B51,AF$9,"fill=b"))</f>
        <v/>
      </c>
      <c r="AG51" s="150"/>
      <c r="AH51" s="190">
        <f>IF(B51="","",IF($AD51="AT MATURITY",$AB51*1,_xll.BADDPERIODS(_xll.BDP($B51,"issue dt"),"numberofperiods",TRUNC(_xll.BDP($B51,"YRS_TO_LONGEST_AVG_LIFE","YLD_YTM_BID",AF51,"SETTLE_DT",U51,AC51),0),"per=y")+(ROUND(MOD(_xll.BDP(B51,"YRS_TO_LONGEST_AVG_LIFE","YLD_YTM_BID",AF51,"SETTLE_DT",U51,AC51),1)*360,0))))</f>
        <v>41197</v>
      </c>
      <c r="AI51" s="150" t="e" cm="1">
        <f t="array" ref="AI51">IF(B51="","",AF51-_xll.BInterpol(_xll.BDP(_xll.BDS("YCGT0372 Index","curve members","CURVE_DATE", $U51,"endcol=1","array=true"),"maturity")*1,_xll.BDH(_xll.BDS("YCGT0372 Index","curve members","CURVE_DATE", $U51,"endcol=1","array=true"),"yld cnv mid",$U51,$U51,"days=all"),AH51,"CUBIC","Extrapolate=LINEAR","SKIP=TRUE","SORT=TRUE","MultiX=Average"))</f>
        <v>#VALUE!</v>
      </c>
      <c r="AJ51" s="189" t="str">
        <f t="shared" si="15"/>
        <v/>
      </c>
      <c r="AK51" s="257" t="str" cm="1">
        <f t="array" ref="AK51">IF(B51="","",_xll.BDP($B51,AK$9,"fill=b"))</f>
        <v>80.66MM</v>
      </c>
      <c r="AL51" s="257" t="str" cm="1">
        <f t="array" ref="AL51">IF(B51="","",_xll.BDP($B51,AL$9,"fill=b"))</f>
        <v>0</v>
      </c>
      <c r="AM51" s="256" cm="1">
        <f t="array" ref="AM51">IF(B51="","",_xll.BDP($B51,AM$9,"fill=b"))</f>
        <v>6667</v>
      </c>
      <c r="AN51" s="150" t="str" cm="1">
        <f t="array" ref="AN51">IF(B51="","",_xll.BDP($B51,AN$9,"fill=b"))</f>
        <v>10/15/2012</v>
      </c>
      <c r="AO51" s="150" t="str" cm="1">
        <f t="array" ref="AO51">IF(B51="","",IF(LEFT(_xlfn.SINGLE(_xll.BDP($B51,AO$9,"fill=b")),1)="#","-",_xll.BDP($B51,AO$9,"fill=b")))</f>
        <v>BTG,CXECON</v>
      </c>
      <c r="AP51" s="150" t="str" cm="1">
        <f t="array" ref="AP51">IF(B51="","",_xll.BDP($B51,AP$9,"fill=b"))</f>
        <v>Diversified</v>
      </c>
      <c r="AQ51" s="150" t="str" cm="1">
        <f t="array" ref="AQ51">IF(B51="","",_xll.BDP($B51,AQ$9,"fill=b"))</f>
        <v>Holding Companies-Divers</v>
      </c>
      <c r="AR51" s="150" t="str" cm="1">
        <f t="array" ref="AR51">IF(B51="","",_xll.BDP($B51,AR$9,"fill=b"))</f>
        <v/>
      </c>
      <c r="AS51" s="150" t="str" cm="1">
        <f t="array" ref="AS51">IF(B51="","",_xll.BDP($B51,AS$9,"fill=b"))</f>
        <v/>
      </c>
      <c r="AT51" s="150" t="str" cm="1">
        <f t="array" ref="AT51">IF(B51="","",_xll.BDP($B51,AT$9,"fill=b"))</f>
        <v>C(bra)</v>
      </c>
      <c r="AU51" s="258" t="str" cm="1">
        <f t="array" ref="AU51">IF(B51="","",_xll.BDP($B51,AU$9,"fill=b"))</f>
        <v>CPN = BZDIOVRA INDEX + 220BP</v>
      </c>
    </row>
    <row r="52" spans="2:47" ht="15" x14ac:dyDescent="0.25">
      <c r="B52" s="232" t="s">
        <v>271</v>
      </c>
      <c r="C52" s="150" t="str" cm="1">
        <f t="array" ref="C52">IF(B52="","",_xll.BDP($B52,C$9,"fill=b"))</f>
        <v>ECCR32</v>
      </c>
      <c r="D52" s="150" t="str" cm="1">
        <f t="array" ref="D52">IF(B52="","",_xll.BDP($B52,D$9,"fill=b"))</f>
        <v>ECORBZ 5.35 10/15/22</v>
      </c>
      <c r="E52" s="150" t="str" cm="1">
        <f t="array" ref="E52">IF(B52="","",_xll.BDP($B52,E$9,"fill=b"))</f>
        <v>ECORODOVIAS INFRAESTRUTU</v>
      </c>
      <c r="F52" s="150" t="str" cm="1">
        <f t="array" ref="F52">IF(B52="","",IF(LEFT(_xlfn.SINGLE(_xll.BDP($B52,F$9,"fill=b")),1)="#","-",_xll.BDP($B52,F$9,"fill=b")))</f>
        <v>1204213D IM</v>
      </c>
      <c r="G52" s="150" t="str" cm="1">
        <f t="array" ref="G52">IF(B52="","",_xll.BDP($B52,G$9,"fill=b"))</f>
        <v>BRAZIL IPCA+SPREAD</v>
      </c>
      <c r="H52" s="150" t="str" cm="1">
        <f t="array" ref="H52">IF(B52="","",_xll.BDP($B52,H$9,"fill=b"))</f>
        <v/>
      </c>
      <c r="I52" s="150" t="str" cm="1">
        <f t="array" ref="I52">IF(LEFT(_xlfn.SINGLE(_xll.BDP(B52,"REFERENCE_INDEX")),1)="#",IF(LEFT(_xlfn.SINGLE(_xll.BDP(B52, "RESET_IDX"))&amp;" Index",1)="#","",_xlfn.SINGLE(_xll.BDP(B52, "RESET_IDX"))&amp;" Index"),_xll.BDP(B52,"REFERENCE_INDEX"))</f>
        <v>BZCLVLUE Index</v>
      </c>
      <c r="J52" s="150" t="str">
        <f>IF(I52="BZDIOVRA Index",IF(_xll.BDP(B52,"FLT_SPREAD")/100=0,_xll.BDP(B52,"FLT_BENCH_MULTIPLIER"),_xll.BDP(B52,"FLT_SPREAD")/100),"")</f>
        <v/>
      </c>
      <c r="K52" s="150" t="str" cm="1">
        <f t="array" ref="K52">IF(B52="","",IF(LEFT(_xlfn.SINGLE(_xll.BDP($B52,K$9,"fill=b")),1)="#","-",_xll.BDP($B52,K$9,"fill=b")))</f>
        <v>-</v>
      </c>
      <c r="L52" s="233"/>
      <c r="M52" s="234" t="e">
        <f t="shared" si="3"/>
        <v>#VALUE!</v>
      </c>
      <c r="N52" s="252" t="e">
        <f>IF(B52="","",IF(R52="",IF(OR(AD52="SINKABLE",AD52="CALL/SINK"),_xll.BDP(B52,$N$9,$M$9,M52,"PRICING SOURCE",$C$6,"FILL=B"),_xll.BDP(B52,$N$9,$M$9,M52,"PRICING SOURCE",$C$6,"FILL=B")),IF(OR(AD52="SINKABLE",AD52="CALL/SINK"),_xll.BDP(B52,$N$9,$Q$10,S52,$M$9,M52,"PRICING SOURCE",$C$6,"FILL=B"),_xll.BDP(B52,$N$9,$Q$9,S52,$M$9,M52,"PRICING SOURCE",$C$6,"FILL=B"))))</f>
        <v>#VALUE!</v>
      </c>
      <c r="O52" s="235"/>
      <c r="P52" s="236" t="e">
        <f t="shared" si="16"/>
        <v>#VALUE!</v>
      </c>
      <c r="Q52" s="166" t="str">
        <f>IF(ISERROR((IF(OR(AD52="SINKABLE",AD52="CALL/SINK"),_xll.BDP($B52,$Q$10,"fill=b","PRICING_SOURCE",$C$6,$AC52,$N$9,$P52,$M$9,$M52),_xll.BDP($B52,Q$9,"fill=b","PRICING_SOURCE",$C$6,$AC52,$N$9,$P52,$M$9,$M52)))*1),"",IF(OR(AD52="SINKABLE",AD52="CALL/SINK"),_xll.BDP($B52,$Q$10,"fill=b","PRICING_SOURCE",$C$6,$AC52,$N$9,$P52,$M$9,$M52),_xll.BDP($B52,Q$9,"fill=b","PRICING_SOURCE",$C$6,$AC52,$N$9,$P52,$M$9,$M52)))</f>
        <v/>
      </c>
      <c r="R52" s="237"/>
      <c r="S52" s="238" t="str">
        <f t="shared" si="17"/>
        <v/>
      </c>
      <c r="T52" s="239" cm="1">
        <f t="array" ref="T52">IF(ISERROR((_xlfn.SINGLE(IF(OR(AD52="SINKABLE",AD52="CALL/SINK"),_xll.BDP($B52,$Q$10,"fill=b","PRICING_SOURCE",$C$6,$AC52,$M$9,$U52,"px ask",$AE52),_xll.BDP($B52,Q$9,"fill=b","PRICING_SOURCE",$C$6,$AC52,$M$9,$U52,"px ask",$AE52))))*1),"",IF(OR(AD52="SINKABLE",AD52="CALL/SINK"),_xll.BDP($B52,$Q$10,"fill=b","PRICING_SOURCE",$C$6,$AC52,$M$9,$U52,"px ask",$AE52),_xll.BDP($B52,Q$9,"fill=b","PRICING_SOURCE",$C$6,$AC52,$M$9,$U52,"px ask",$AE52)))</f>
        <v>61.776549438823082</v>
      </c>
      <c r="U52" s="240" t="str">
        <f t="shared" si="13"/>
        <v>20121015</v>
      </c>
      <c r="V52" s="254" t="e" cm="1">
        <f t="array" ref="V52">IF(B52="","",IF(I52="BZDIOVRA Index",IF(OR(AD52="SINKABLE",AD52="CALL/SINK"),_xll.BDP($B52,"PX_ASK",$Q$10,J52,$M$9,M52),_xll.BDP($B52,"PX_"&amp;$H$7,$Q$9,J52,$M$9,M52)),_xll.BDP($B52,"PX_"&amp;$H$7,$Q$9,_xll.BDP(B52,"CPN"),$M$9,M52)))</f>
        <v>#VALUE!</v>
      </c>
      <c r="W52" s="254" t="str">
        <f t="shared" si="14"/>
        <v/>
      </c>
      <c r="X52" s="166" t="e">
        <f>IF(B52="","",IF(OR(AD52="SINKABLE",AD52="CALL/SINK"),_xll.BDP($B52,X$9,"fill=b","PRICING_SOURCE",$C$6,$AC52,$M$9,$M52,$N$9,$P52,$Q$10,$S52),_xll.BDP($B52,X$9,"fill=b","PRICING_SOURCE",$C$6,$AC52,$M$9,$M52,$N$9,$P52,$Q$9,$S52)))</f>
        <v>#VALUE!</v>
      </c>
      <c r="Y52" s="166" t="e">
        <f>IF(B52="","",IF(OR(AD52="SINKABLE",AD52="CALL/SINK"),_xll.BDP($B52,Y$9,"fill=b","PRICING_SOURCE",$C$6,$AC52,$M$9,$M52,$N$9,$P52,$Q$10,$S52),_xll.BDP($B52,Y$9,"fill=b","PRICING_SOURCE",$C$6,$AC52,$M$9,$M52,$N$9,$P52,$Q$9,$S52)))</f>
        <v>#VALUE!</v>
      </c>
      <c r="Z52" s="255" t="e">
        <f>IF(B52="","",IF(OR(AD52="SINKABLE",AD52="CALL/SINK"),_xll.BDP($B52,Z$9,"fill=b","PRICING_SOURCE",$C$6,$AC52,$M$9,$M52,$N$9,$P52,$Q$10,$S52),_xll.BDP($B52,Z$9,"fill=b","PRICING_SOURCE",$C$6,$AC52,$M$9,$M52,$N$9,$P52,$Q$9,$S52)))</f>
        <v>#VALUE!</v>
      </c>
      <c r="AA52" s="166" t="e">
        <f>IF(B52="","",IF(OR(AD52="SINKABLE",AD52="CALL/SINK"),_xll.BDP($B52,AA$9,"fill=b","PRICING_SOURCE",$C$6,$AC52,$M$9,$M52,$N$9,$P52,$Q$10,$S52),_xll.BDP($B52,AA$9,"fill=b","PRICING_SOURCE",$C$6,$AC52,$M$9,$M52,$N$9,$P52,$Q$9,$S52)))</f>
        <v>#VALUE!</v>
      </c>
      <c r="AB52" s="150" t="str" cm="1">
        <f t="array" ref="AB52">IF(B52="","",IF(LEFT(_xlfn.SINGLE(_xll.BDP($B52,AB$9,"fill=b")),1)="#","-",_xll.BDP($B52,AB$9,"fill=b")))</f>
        <v>10/15/2022</v>
      </c>
      <c r="AC52" s="150" t="str">
        <f t="shared" si="18"/>
        <v>YLD FLAG=28</v>
      </c>
      <c r="AD52" s="150" t="str" cm="1">
        <f t="array" ref="AD52">IF(B52="","",_xll.BDP($B52,AD$9,"fill=b"))</f>
        <v>SINKABLE</v>
      </c>
      <c r="AE52" s="256" cm="1">
        <f t="array" ref="AE52">IF(B52="","",IF(ISERROR(_xlfn.SINGLE(_xll.BDH(B52,"PX LAST",AN52,AN52,"DAYS=ALL","PRICING SOURCE",$C$6))*1),_xll.BDP(B52,"PAR AMT"),_xll.BDH(B52,"PX LAST",AN52,AN52,"DAYS=ALL","PRICING SOURCE",$C$6)))</f>
        <v>3334</v>
      </c>
      <c r="AF52" s="150" cm="1">
        <f t="array" ref="AF52">IF(B52="","",_xll.BDP($B52,AF$9,"fill=b"))</f>
        <v>5.35</v>
      </c>
      <c r="AG52" s="150"/>
      <c r="AH52" s="190" t="e">
        <f>IF(B52="","",IF($AD52="AT MATURITY",$AB52*1,_xll.BADDPERIODS(_xll.BDP($B52,"issue dt"),"numberofperiods",TRUNC(_xll.BDP($B52,"YRS_TO_LONGEST_AVG_LIFE","YLD_YTM_BID",AF52,"SETTLE_DT",U52,AC52),0),"per=y")+(ROUND(MOD(_xll.BDP(B52,"YRS_TO_LONGEST_AVG_LIFE","YLD_YTM_BID",AF52,"SETTLE_DT",U52,AC52),1)*360,0))))</f>
        <v>#VALUE!</v>
      </c>
      <c r="AI52" s="150" t="e" cm="1">
        <f t="array" ref="AI52">IF(B52="","",AF52-_xll.BInterpol(_xll.BDP(_xll.BDS("YCGT0372 Index","curve members","CURVE_DATE", $U52,"endcol=1","array=true"),"maturity")*1,_xll.BDH(_xll.BDS("YCGT0372 Index","curve members","CURVE_DATE", $U52,"endcol=1","array=true"),"yld cnv mid",$U52,$U52,"days=all"),AH52,"CUBIC","Extrapolate=LINEAR","SKIP=TRUE","SORT=TRUE","MultiX=Average"))</f>
        <v>#VALUE!</v>
      </c>
      <c r="AJ52" s="189" t="str">
        <f t="shared" si="15"/>
        <v/>
      </c>
      <c r="AK52" s="257" t="str" cm="1">
        <f t="array" ref="AK52">IF(B52="","",_xll.BDP($B52,AK$9,"fill=b"))</f>
        <v>400MM</v>
      </c>
      <c r="AL52" s="257" t="str" cm="1">
        <f t="array" ref="AL52">IF(B52="","",_xll.BDP($B52,AL$9,"fill=b"))</f>
        <v>0</v>
      </c>
      <c r="AM52" s="256" cm="1">
        <f t="array" ref="AM52">IF(B52="","",_xll.BDP($B52,AM$9,"fill=b"))</f>
        <v>3334</v>
      </c>
      <c r="AN52" s="150" t="str" cm="1">
        <f t="array" ref="AN52">IF(B52="","",_xll.BDP($B52,AN$9,"fill=b"))</f>
        <v>10/15/2012</v>
      </c>
      <c r="AO52" s="150" t="str" cm="1">
        <f t="array" ref="AO52">IF(B52="","",IF(LEFT(_xlfn.SINGLE(_xll.BDP($B52,AO$9,"fill=b")),1)="#","-",_xll.BDP($B52,AO$9,"fill=b")))</f>
        <v>JOINT LEADS</v>
      </c>
      <c r="AP52" s="150" t="str" cm="1">
        <f t="array" ref="AP52">IF(B52="","",_xll.BDP($B52,AP$9,"fill=b"))</f>
        <v>Consumer, Non-cyclical</v>
      </c>
      <c r="AQ52" s="150" t="str" cm="1">
        <f t="array" ref="AQ52">IF(B52="","",_xll.BDP($B52,AQ$9,"fill=b"))</f>
        <v>Commercial Services</v>
      </c>
      <c r="AR52" s="150" t="str" cm="1">
        <f t="array" ref="AR52">IF(B52="","",_xll.BDP($B52,AR$9,"fill=b"))</f>
        <v>NR</v>
      </c>
      <c r="AS52" s="150" t="str" cm="1">
        <f t="array" ref="AS52">IF(B52="","",_xll.BDP($B52,AS$9,"fill=b"))</f>
        <v/>
      </c>
      <c r="AT52" s="150" t="str" cm="1">
        <f t="array" ref="AT52">IF(B52="","",_xll.BDP($B52,AT$9,"fill=b"))</f>
        <v/>
      </c>
      <c r="AU52" s="258" t="str" cm="1">
        <f t="array" ref="AU52">IF(B52="","",_xll.BDP($B52,AU$9,"fill=b"))</f>
        <v>CPN = BZCLVLUE INDEX + 535BP</v>
      </c>
    </row>
    <row r="53" spans="2:47" ht="15" x14ac:dyDescent="0.25">
      <c r="B53" s="232" t="s">
        <v>329</v>
      </c>
      <c r="C53" s="150" t="str" cm="1">
        <f t="array" ref="C53">IF(B53="","",_xll.BDP($B53,C$9,"fill=b"))</f>
        <v>ECCR12</v>
      </c>
      <c r="D53" s="150" t="str" cm="1">
        <f t="array" ref="D53">IF(B53="","",_xll.BDP($B53,D$9,"fill=b"))</f>
        <v>ECORBZ Float 10/15/18</v>
      </c>
      <c r="E53" s="150" t="str" cm="1">
        <f t="array" ref="E53">IF(B53="","",_xll.BDP($B53,E$9,"fill=b"))</f>
        <v>ECORODOVIAS INFRAESTRUTU</v>
      </c>
      <c r="F53" s="150" t="str" cm="1">
        <f t="array" ref="F53">IF(B53="","",IF(LEFT(_xlfn.SINGLE(_xll.BDP($B53,F$9,"fill=b")),1)="#","-",_xll.BDP($B53,F$9,"fill=b")))</f>
        <v>1204213D IM</v>
      </c>
      <c r="G53" s="150" t="str" cm="1">
        <f t="array" ref="G53">IF(B53="","",_xll.BDP($B53,G$9,"fill=b"))</f>
        <v>BRAZIL DI+SPREAD</v>
      </c>
      <c r="H53" s="150" t="str" cm="1">
        <f t="array" ref="H53">IF(B53="","",_xll.BDP($B53,H$9,"fill=b"))</f>
        <v>OVRA BZDI +79.000</v>
      </c>
      <c r="I53" s="150" t="str" cm="1">
        <f t="array" ref="I53">IF(LEFT(_xlfn.SINGLE(_xll.BDP(B53,"REFERENCE_INDEX")),1)="#",IF(LEFT(_xlfn.SINGLE(_xll.BDP(B53, "RESET_IDX"))&amp;" Index",1)="#","",_xlfn.SINGLE(_xll.BDP(B53, "RESET_IDX"))&amp;" Index"),_xll.BDP(B53,"REFERENCE_INDEX"))</f>
        <v>BZDIOVRA Index</v>
      </c>
      <c r="J53" s="150" cm="1">
        <f t="array" ref="J53">IF(I53="BZDIOVRA Index",IF(_xlfn.SINGLE(_xll.BDP(B53,"FLT_SPREAD"))/100=0,_xll.BDP(B53,"FLT_BENCH_MULTIPLIER"),_xlfn.SINGLE(_xll.BDP(B53,"FLT_SPREAD"))/100),"")</f>
        <v>0.79</v>
      </c>
      <c r="K53" s="150" t="str" cm="1">
        <f t="array" ref="K53">IF(B53="","",IF(LEFT(_xlfn.SINGLE(_xll.BDP($B53,K$9,"fill=b")),1)="#","-",_xll.BDP($B53,K$9,"fill=b")))</f>
        <v>-</v>
      </c>
      <c r="L53" s="233"/>
      <c r="M53" s="234" t="e">
        <f t="shared" si="3"/>
        <v>#VALUE!</v>
      </c>
      <c r="N53" s="252" t="e">
        <f>IF(B53="","",IF(R53="",IF(OR(AD53="SINKABLE",AD53="CALL/SINK"),_xll.BDP(B53,$N$9,$M$9,M53,"PRICING SOURCE",$C$6,"FILL=B"),_xll.BDP(B53,$N$9,$M$9,M53,"PRICING SOURCE",$C$6,"FILL=B")),IF(OR(AD53="SINKABLE",AD53="CALL/SINK"),_xll.BDP(B53,$N$9,$Q$10,S53,$M$9,M53,"PRICING SOURCE",$C$6,"FILL=B"),_xll.BDP(B53,$N$9,$Q$9,S53,$M$9,M53,"PRICING SOURCE",$C$6,"FILL=B"))))</f>
        <v>#VALUE!</v>
      </c>
      <c r="O53" s="235"/>
      <c r="P53" s="236" t="e">
        <f t="shared" si="16"/>
        <v>#VALUE!</v>
      </c>
      <c r="Q53" s="166" t="str">
        <f>IF(ISERROR((IF(OR(AD53="SINKABLE",AD53="CALL/SINK"),_xll.BDP($B53,$Q$10,"fill=b","PRICING_SOURCE",$C$6,$AC53,$N$9,$P53,$M$9,$M53),_xll.BDP($B53,Q$9,"fill=b","PRICING_SOURCE",$C$6,$AC53,$N$9,$P53,$M$9,$M53)))*1),"",IF(OR(AD53="SINKABLE",AD53="CALL/SINK"),_xll.BDP($B53,$Q$10,"fill=b","PRICING_SOURCE",$C$6,$AC53,$N$9,$P53,$M$9,$M53),_xll.BDP($B53,Q$9,"fill=b","PRICING_SOURCE",$C$6,$AC53,$N$9,$P53,$M$9,$M53)))</f>
        <v/>
      </c>
      <c r="R53" s="237"/>
      <c r="S53" s="238" t="str">
        <f t="shared" si="17"/>
        <v/>
      </c>
      <c r="T53" s="239" cm="1">
        <f t="array" ref="T53">IF(ISERROR((_xlfn.SINGLE(IF(OR(AD53="SINKABLE",AD53="CALL/SINK"),_xll.BDP($B53,$Q$10,"fill=b","PRICING_SOURCE",$C$6,$AC53,$M$9,$U53,"px ask",$AE53),_xll.BDP($B53,Q$9,"fill=b","PRICING_SOURCE",$C$6,$AC53,$M$9,$U53,"px ask",$AE53))))*1),"",IF(OR(AD53="SINKABLE",AD53="CALL/SINK"),_xll.BDP($B53,$Q$10,"fill=b","PRICING_SOURCE",$C$6,$AC53,$M$9,$U53,"px ask",$AE53),_xll.BDP($B53,Q$9,"fill=b","PRICING_SOURCE",$C$6,$AC53,$M$9,$U53,"px ask",$AE53)))</f>
        <v>35.392620024419543</v>
      </c>
      <c r="U53" s="240" t="str">
        <f t="shared" si="13"/>
        <v>20121015</v>
      </c>
      <c r="V53" s="254" t="e" cm="1">
        <f t="array" ref="V53">IF(B53="","",IF(I53="BZDIOVRA Index",IF(OR(AD53="SINKABLE",AD53="CALL/SINK"),_xll.BDP($B53,"PX_ASK",$Q$10,J53,$M$9,M53),_xll.BDP($B53,"PX_"&amp;$H$7,$Q$9,J53,$M$9,M53)),_xll.BDP($B53,"PX_"&amp;$H$7,$Q$9,_xll.BDP(B53,"CPN"),$M$9,M53)))</f>
        <v>#VALUE!</v>
      </c>
      <c r="W53" s="254" t="str">
        <f t="shared" si="14"/>
        <v/>
      </c>
      <c r="X53" s="166" t="e">
        <f>IF(B53="","",IF(OR(AD53="SINKABLE",AD53="CALL/SINK"),_xll.BDP($B53,X$9,"fill=b","PRICING_SOURCE",$C$6,$AC53,$M$9,$M53,$N$9,$P53,$Q$10,$S53),_xll.BDP($B53,X$9,"fill=b","PRICING_SOURCE",$C$6,$AC53,$M$9,$M53,$N$9,$P53,$Q$9,$S53)))</f>
        <v>#VALUE!</v>
      </c>
      <c r="Y53" s="166" t="e">
        <f>IF(B53="","",IF(OR(AD53="SINKABLE",AD53="CALL/SINK"),_xll.BDP($B53,Y$9,"fill=b","PRICING_SOURCE",$C$6,$AC53,$M$9,$M53,$N$9,$P53,$Q$10,$S53),_xll.BDP($B53,Y$9,"fill=b","PRICING_SOURCE",$C$6,$AC53,$M$9,$M53,$N$9,$P53,$Q$9,$S53)))</f>
        <v>#VALUE!</v>
      </c>
      <c r="Z53" s="255" t="e">
        <f>IF(B53="","",IF(OR(AD53="SINKABLE",AD53="CALL/SINK"),_xll.BDP($B53,Z$9,"fill=b","PRICING_SOURCE",$C$6,$AC53,$M$9,$M53,$N$9,$P53,$Q$10,$S53),_xll.BDP($B53,Z$9,"fill=b","PRICING_SOURCE",$C$6,$AC53,$M$9,$M53,$N$9,$P53,$Q$9,$S53)))</f>
        <v>#VALUE!</v>
      </c>
      <c r="AA53" s="166" t="e">
        <f>IF(B53="","",IF(OR(AD53="SINKABLE",AD53="CALL/SINK"),_xll.BDP($B53,AA$9,"fill=b","PRICING_SOURCE",$C$6,$AC53,$M$9,$M53,$N$9,$P53,$Q$10,$S53),_xll.BDP($B53,AA$9,"fill=b","PRICING_SOURCE",$C$6,$AC53,$M$9,$M53,$N$9,$P53,$Q$9,$S53)))</f>
        <v>#VALUE!</v>
      </c>
      <c r="AB53" s="150" t="str" cm="1">
        <f t="array" ref="AB53">IF(B53="","",IF(LEFT(_xlfn.SINGLE(_xll.BDP($B53,AB$9,"fill=b")),1)="#","-",_xll.BDP($B53,AB$9,"fill=b")))</f>
        <v>10/15/2018</v>
      </c>
      <c r="AC53" s="150" t="str">
        <f t="shared" si="18"/>
        <v>YLD FLAG=28</v>
      </c>
      <c r="AD53" s="150" t="str" cm="1">
        <f t="array" ref="AD53">IF(B53="","",_xll.BDP($B53,AD$9,"fill=b"))</f>
        <v>SINKABLE</v>
      </c>
      <c r="AE53" s="256" cm="1">
        <f t="array" ref="AE53">IF(B53="","",IF(ISERROR(_xlfn.SINGLE(_xll.BDH(B53,"PX LAST",AN53,AN53,"DAYS=ALL","PRICING SOURCE",$C$6))*1),_xll.BDP(B53,"PAR AMT"),_xll.BDH(B53,"PX LAST",AN53,AN53,"DAYS=ALL","PRICING SOURCE",$C$6)))</f>
        <v>3334</v>
      </c>
      <c r="AF53" s="150" cm="1">
        <f t="array" ref="AF53">IF(B53="","",_xll.BDP($B53,AF$9,"fill=b"))</f>
        <v>3.5525036892599999</v>
      </c>
      <c r="AG53" s="150"/>
      <c r="AH53" s="190">
        <f>IF(B53="","",IF($AD53="AT MATURITY",$AB53*1,_xll.BADDPERIODS(_xll.BDP($B53,"issue dt"),"numberofperiods",TRUNC(_xll.BDP($B53,"YRS_TO_LONGEST_AVG_LIFE","YLD_YTM_BID",AF53,"SETTLE_DT",U53,AC53),0),"per=y")+(ROUND(MOD(_xll.BDP(B53,"YRS_TO_LONGEST_AVG_LIFE","YLD_YTM_BID",AF53,"SETTLE_DT",U53,AC53),1)*360,0))))</f>
        <v>43026</v>
      </c>
      <c r="AI53" s="150" t="e" cm="1">
        <f t="array" ref="AI53">IF(B53="","",AF53-_xll.BInterpol(_xll.BDP(_xll.BDS("YCGT0372 Index","curve members","CURVE_DATE", $U53,"endcol=1","array=true"),"maturity")*1,_xll.BDH(_xll.BDS("YCGT0372 Index","curve members","CURVE_DATE", $U53,"endcol=1","array=true"),"yld cnv mid",$U53,$U53,"days=all"),AH53,"CUBIC","Extrapolate=LINEAR","SKIP=TRUE","SORT=TRUE","MultiX=Average"))</f>
        <v>#VALUE!</v>
      </c>
      <c r="AJ53" s="189">
        <f t="shared" si="15"/>
        <v>0.79</v>
      </c>
      <c r="AK53" s="257" t="str" cm="1">
        <f t="array" ref="AK53">IF(B53="","",_xll.BDP($B53,AK$9,"fill=b"))</f>
        <v>240MM</v>
      </c>
      <c r="AL53" s="257" t="str" cm="1">
        <f t="array" ref="AL53">IF(B53="","",_xll.BDP($B53,AL$9,"fill=b"))</f>
        <v>0</v>
      </c>
      <c r="AM53" s="256" cm="1">
        <f t="array" ref="AM53">IF(B53="","",_xll.BDP($B53,AM$9,"fill=b"))</f>
        <v>3334</v>
      </c>
      <c r="AN53" s="150" t="str" cm="1">
        <f t="array" ref="AN53">IF(B53="","",_xll.BDP($B53,AN$9,"fill=b"))</f>
        <v>10/15/2012</v>
      </c>
      <c r="AO53" s="150" t="str" cm="1">
        <f t="array" ref="AO53">IF(B53="","",IF(LEFT(_xlfn.SINGLE(_xll.BDP($B53,AO$9,"fill=b")),1)="#","-",_xll.BDP($B53,AO$9,"fill=b")))</f>
        <v>JOINT LEADS</v>
      </c>
      <c r="AP53" s="150" t="str" cm="1">
        <f t="array" ref="AP53">IF(B53="","",_xll.BDP($B53,AP$9,"fill=b"))</f>
        <v>Consumer, Non-cyclical</v>
      </c>
      <c r="AQ53" s="150" t="str" cm="1">
        <f t="array" ref="AQ53">IF(B53="","",_xll.BDP($B53,AQ$9,"fill=b"))</f>
        <v>Commercial Services</v>
      </c>
      <c r="AR53" s="150" t="str" cm="1">
        <f t="array" ref="AR53">IF(B53="","",_xll.BDP($B53,AR$9,"fill=b"))</f>
        <v/>
      </c>
      <c r="AS53" s="150" t="str" cm="1">
        <f t="array" ref="AS53">IF(B53="","",_xll.BDP($B53,AS$9,"fill=b"))</f>
        <v/>
      </c>
      <c r="AT53" s="150" t="str" cm="1">
        <f t="array" ref="AT53">IF(B53="","",_xll.BDP($B53,AT$9,"fill=b"))</f>
        <v/>
      </c>
      <c r="AU53" s="258" t="str" cm="1">
        <f t="array" ref="AU53">IF(B53="","",_xll.BDP($B53,AU$9,"fill=b"))</f>
        <v>CPN = BZDIOVRA INDEX + 79BP</v>
      </c>
    </row>
    <row r="54" spans="2:47" ht="15" x14ac:dyDescent="0.25">
      <c r="B54" s="232" t="s">
        <v>342</v>
      </c>
      <c r="C54" s="150" t="str" cm="1">
        <f t="array" ref="C54">IF(B54="","",_xll.BDP($B54,C$9,"fill=b"))</f>
        <v>ANHB14</v>
      </c>
      <c r="D54" s="150" t="str" cm="1">
        <f t="array" ref="D54">IF(B54="","",_xll.BDP($B54,D$9,"fill=b"))</f>
        <v>CCROBZ Float 09/15/17</v>
      </c>
      <c r="E54" s="150" t="str" cm="1">
        <f t="array" ref="E54">IF(B54="","",_xll.BDP($B54,E$9,"fill=b"))</f>
        <v>SISTEMA ANHANGUERA BAND</v>
      </c>
      <c r="F54" s="150" t="str" cm="1">
        <f t="array" ref="F54">IF(B54="","",IF(LEFT(_xlfn.SINGLE(_xll.BDP($B54,F$9,"fill=b")),1)="#","-",_xll.BDP($B54,F$9,"fill=b")))</f>
        <v>MOTV3 BZ</v>
      </c>
      <c r="G54" s="150" t="str" cm="1">
        <f t="array" ref="G54">IF(B54="","",_xll.BDP($B54,G$9,"fill=b"))</f>
        <v>BRAZIL PERCENT DI</v>
      </c>
      <c r="H54" s="150" t="str" cm="1">
        <f t="array" ref="H54">IF(B54="","",_xll.BDP($B54,H$9,"fill=b"))</f>
        <v>OVRA BZDI *109.00000</v>
      </c>
      <c r="I54" s="150" t="str" cm="1">
        <f t="array" ref="I54">IF(LEFT(_xlfn.SINGLE(_xll.BDP(B54,"REFERENCE_INDEX")),1)="#",IF(LEFT(_xlfn.SINGLE(_xll.BDP(B54, "RESET_IDX"))&amp;" Index",1)="#","",_xlfn.SINGLE(_xll.BDP(B54, "RESET_IDX"))&amp;" Index"),_xll.BDP(B54,"REFERENCE_INDEX"))</f>
        <v>BZDIOVRA Index</v>
      </c>
      <c r="J54" s="150" cm="1">
        <f t="array" ref="J54">IF(I54="BZDIOVRA Index",IF(_xlfn.SINGLE(_xll.BDP(B54,"FLT_SPREAD"))/100=0,_xll.BDP(B54,"FLT_BENCH_MULTIPLIER"),_xlfn.SINGLE(_xll.BDP(B54,"FLT_SPREAD"))/100),"")</f>
        <v>109</v>
      </c>
      <c r="K54" s="150" t="str" cm="1">
        <f t="array" ref="K54">IF(B54="","",IF(LEFT(_xlfn.SINGLE(_xll.BDP($B54,K$9,"fill=b")),1)="#","-",_xll.BDP($B54,K$9,"fill=b")))</f>
        <v>-</v>
      </c>
      <c r="L54" s="233"/>
      <c r="M54" s="234" t="e">
        <f t="shared" si="3"/>
        <v>#VALUE!</v>
      </c>
      <c r="N54" s="252" t="e">
        <f>IF(B54="","",IF(R54="",IF(OR(AD54="SINKABLE",AD54="CALL/SINK"),_xll.BDP(B54,$N$9,$M$9,M54,"PRICING SOURCE",$C$6,"FILL=B"),_xll.BDP(B54,$N$9,$M$9,M54,"PRICING SOURCE",$C$6,"FILL=B")),IF(OR(AD54="SINKABLE",AD54="CALL/SINK"),_xll.BDP(B54,$N$9,$Q$10,S54,$M$9,M54,"PRICING SOURCE",$C$6,"FILL=B"),_xll.BDP(B54,$N$9,$Q$9,S54,$M$9,M54,"PRICING SOURCE",$C$6,"FILL=B"))))</f>
        <v>#VALUE!</v>
      </c>
      <c r="O54" s="235"/>
      <c r="P54" s="236" t="e">
        <f t="shared" si="16"/>
        <v>#VALUE!</v>
      </c>
      <c r="Q54" s="166" t="str">
        <f>IF(ISERROR((IF(OR(AD54="SINKABLE",AD54="CALL/SINK"),_xll.BDP($B54,$Q$10,"fill=b","PRICING_SOURCE",$C$6,$AC54,$N$9,$P54,$M$9,$M54),_xll.BDP($B54,Q$9,"fill=b","PRICING_SOURCE",$C$6,$AC54,$N$9,$P54,$M$9,$M54)))*1),"",IF(OR(AD54="SINKABLE",AD54="CALL/SINK"),_xll.BDP($B54,$Q$10,"fill=b","PRICING_SOURCE",$C$6,$AC54,$N$9,$P54,$M$9,$M54),_xll.BDP($B54,Q$9,"fill=b","PRICING_SOURCE",$C$6,$AC54,$N$9,$P54,$M$9,$M54)))</f>
        <v/>
      </c>
      <c r="R54" s="237"/>
      <c r="S54" s="238" t="str">
        <f t="shared" si="17"/>
        <v/>
      </c>
      <c r="T54" s="239" t="str" cm="1">
        <f t="array" ref="T54">IF(ISERROR((_xlfn.SINGLE(IF(OR(AD54="SINKABLE",AD54="CALL/SINK"),_xll.BDP($B54,$Q$10,"fill=b","PRICING_SOURCE",$C$6,$AC54,$M$9,$U54,"px ask",$AE54),_xll.BDP($B54,Q$9,"fill=b","PRICING_SOURCE",$C$6,$AC54,$M$9,$U54,"px ask",$AE54))))*1),"",IF(OR(AD54="SINKABLE",AD54="CALL/SINK"),_xll.BDP($B54,$Q$10,"fill=b","PRICING_SOURCE",$C$6,$AC54,$M$9,$U54,"px ask",$AE54),_xll.BDP($B54,Q$9,"fill=b","PRICING_SOURCE",$C$6,$AC54,$M$9,$U54,"px ask",$AE54)))</f>
        <v/>
      </c>
      <c r="U54" s="240" t="str">
        <f t="shared" si="13"/>
        <v>20121019</v>
      </c>
      <c r="V54" s="254" t="e" cm="1">
        <f t="array" ref="V54">IF(B54="","",IF(I54="BZDIOVRA Index",IF(OR(AD54="SINKABLE",AD54="CALL/SINK"),_xll.BDP($B54,"PX_ASK",$Q$10,J54,$M$9,M54),_xll.BDP($B54,"PX_"&amp;$H$7,$Q$9,J54,$M$9,M54)),_xll.BDP($B54,"PX_"&amp;$H$7,$Q$9,_xll.BDP(B54,"CPN"),$M$9,M54)))</f>
        <v>#VALUE!</v>
      </c>
      <c r="W54" s="254" t="str">
        <f t="shared" si="14"/>
        <v/>
      </c>
      <c r="X54" s="166" t="e">
        <f>IF(B54="","",IF(OR(AD54="SINKABLE",AD54="CALL/SINK"),_xll.BDP($B54,X$9,"fill=b","PRICING_SOURCE",$C$6,$AC54,$M$9,$M54,$N$9,$P54,$Q$10,$S54),_xll.BDP($B54,X$9,"fill=b","PRICING_SOURCE",$C$6,$AC54,$M$9,$M54,$N$9,$P54,$Q$9,$S54)))</f>
        <v>#VALUE!</v>
      </c>
      <c r="Y54" s="166" t="e">
        <f>IF(B54="","",IF(OR(AD54="SINKABLE",AD54="CALL/SINK"),_xll.BDP($B54,Y$9,"fill=b","PRICING_SOURCE",$C$6,$AC54,$M$9,$M54,$N$9,$P54,$Q$10,$S54),_xll.BDP($B54,Y$9,"fill=b","PRICING_SOURCE",$C$6,$AC54,$M$9,$M54,$N$9,$P54,$Q$9,$S54)))</f>
        <v>#VALUE!</v>
      </c>
      <c r="Z54" s="255" t="e">
        <f>IF(B54="","",IF(OR(AD54="SINKABLE",AD54="CALL/SINK"),_xll.BDP($B54,Z$9,"fill=b","PRICING_SOURCE",$C$6,$AC54,$M$9,$M54,$N$9,$P54,$Q$10,$S54),_xll.BDP($B54,Z$9,"fill=b","PRICING_SOURCE",$C$6,$AC54,$M$9,$M54,$N$9,$P54,$Q$9,$S54)))</f>
        <v>#VALUE!</v>
      </c>
      <c r="AA54" s="166" t="e">
        <f>IF(B54="","",IF(OR(AD54="SINKABLE",AD54="CALL/SINK"),_xll.BDP($B54,AA$9,"fill=b","PRICING_SOURCE",$C$6,$AC54,$M$9,$M54,$N$9,$P54,$Q$10,$S54),_xll.BDP($B54,AA$9,"fill=b","PRICING_SOURCE",$C$6,$AC54,$M$9,$M54,$N$9,$P54,$Q$9,$S54)))</f>
        <v>#VALUE!</v>
      </c>
      <c r="AB54" s="150" t="str" cm="1">
        <f t="array" ref="AB54">IF(B54="","",IF(LEFT(_xlfn.SINGLE(_xll.BDP($B54,AB$9,"fill=b")),1)="#","-",_xll.BDP($B54,AB$9,"fill=b")))</f>
        <v>9/15/2017</v>
      </c>
      <c r="AC54" s="150" t="str">
        <f t="shared" si="18"/>
        <v>YLD FLAG=28</v>
      </c>
      <c r="AD54" s="150" t="str" cm="1">
        <f t="array" ref="AD54">IF(B54="","",_xll.BDP($B54,AD$9,"fill=b"))</f>
        <v>SINKABLE</v>
      </c>
      <c r="AE54" s="256" cm="1">
        <f t="array" ref="AE54">IF(B54="","",IF(ISERROR(_xlfn.SINGLE(_xll.BDH(B54,"PX LAST",AN54,AN54,"DAYS=ALL","PRICING SOURCE",$C$6))*1),_xll.BDP(B54,"PAR AMT"),_xll.BDH(B54,"PX LAST",AN54,AN54,"DAYS=ALL","PRICING SOURCE",$C$6)))</f>
        <v>125</v>
      </c>
      <c r="AF54" s="150" cm="1">
        <f t="array" ref="AF54">IF(B54="","",_xll.BDP($B54,AF$9,"fill=b"))</f>
        <v>2.5475368</v>
      </c>
      <c r="AG54" s="150"/>
      <c r="AH54" s="190">
        <f>IF(B54="","",IF($AD54="AT MATURITY",$AB54*1,_xll.BADDPERIODS(_xll.BDP($B54,"issue dt"),"numberofperiods",TRUNC(_xll.BDP($B54,"YRS_TO_LONGEST_AVG_LIFE","YLD_YTM_BID",AF54,"SETTLE_DT",U54,AC54),0),"per=y")+(ROUND(MOD(_xll.BDP(B54,"YRS_TO_LONGEST_AVG_LIFE","YLD_YTM_BID",AF54,"SETTLE_DT",U54,AC54),1)*360,0))))</f>
        <v>42674</v>
      </c>
      <c r="AI54" s="150" t="e" cm="1">
        <f t="array" ref="AI54">IF(B54="","",AF54-_xll.BInterpol(_xll.BDP(_xll.BDS("YCGT0372 Index","curve members","CURVE_DATE", $U54,"endcol=1","array=true"),"maturity")*1,_xll.BDH(_xll.BDS("YCGT0372 Index","curve members","CURVE_DATE", $U54,"endcol=1","array=true"),"yld cnv mid",$U54,$U54,"days=all"),AH54,"CUBIC","Extrapolate=LINEAR","SKIP=TRUE","SORT=TRUE","MultiX=Average"))</f>
        <v>#VALUE!</v>
      </c>
      <c r="AJ54" s="189">
        <f t="shared" si="15"/>
        <v>109</v>
      </c>
      <c r="AK54" s="257" t="str" cm="1">
        <f t="array" ref="AK54">IF(B54="","",_xll.BDP($B54,AK$9,"fill=b"))</f>
        <v>965MM</v>
      </c>
      <c r="AL54" s="257" t="str" cm="1">
        <f t="array" ref="AL54">IF(B54="","",_xll.BDP($B54,AL$9,"fill=b"))</f>
        <v>0</v>
      </c>
      <c r="AM54" s="256" cm="1">
        <f t="array" ref="AM54">IF(B54="","",_xll.BDP($B54,AM$9,"fill=b"))</f>
        <v>125</v>
      </c>
      <c r="AN54" s="150" t="str" cm="1">
        <f t="array" ref="AN54">IF(B54="","",_xll.BDP($B54,AN$9,"fill=b"))</f>
        <v>10/19/2012</v>
      </c>
      <c r="AO54" s="150" t="str" cm="1">
        <f t="array" ref="AO54">IF(B54="","",IF(LEFT(_xlfn.SINGLE(_xll.BDP($B54,AO$9,"fill=b")),1)="#","-",_xll.BDP($B54,AO$9,"fill=b")))</f>
        <v>HSBC</v>
      </c>
      <c r="AP54" s="150" t="str" cm="1">
        <f t="array" ref="AP54">IF(B54="","",_xll.BDP($B54,AP$9,"fill=b"))</f>
        <v>Consumer, Non-cyclical</v>
      </c>
      <c r="AQ54" s="150" t="str" cm="1">
        <f t="array" ref="AQ54">IF(B54="","",_xll.BDP($B54,AQ$9,"fill=b"))</f>
        <v>Commercial Services</v>
      </c>
      <c r="AR54" s="150" t="str" cm="1">
        <f t="array" ref="AR54">IF(B54="","",_xll.BDP($B54,AR$9,"fill=b"))</f>
        <v>NR</v>
      </c>
      <c r="AS54" s="150" t="str" cm="1">
        <f t="array" ref="AS54">IF(B54="","",_xll.BDP($B54,AS$9,"fill=b"))</f>
        <v>WR</v>
      </c>
      <c r="AT54" s="150" t="str" cm="1">
        <f t="array" ref="AT54">IF(B54="","",_xll.BDP($B54,AT$9,"fill=b"))</f>
        <v/>
      </c>
      <c r="AU54" s="258" t="str" cm="1">
        <f t="array" ref="AU54">IF(B54="","",_xll.BDP($B54,AU$9,"fill=b"))</f>
        <v>CPN = BZDIOVRA INDEX * 109%</v>
      </c>
    </row>
    <row r="55" spans="2:47" ht="15" x14ac:dyDescent="0.25">
      <c r="B55" s="232" t="s">
        <v>247</v>
      </c>
      <c r="C55" s="150" t="str" cm="1">
        <f t="array" ref="C55">IF(B55="","",_xll.BDP($B55,C$9,"fill=b"))</f>
        <v>ANHB14</v>
      </c>
      <c r="D55" s="150" t="str" cm="1">
        <f t="array" ref="D55">IF(B55="","",_xll.BDP($B55,D$9,"fill=b"))</f>
        <v>CCROBZ Float 09/15/17</v>
      </c>
      <c r="E55" s="150" t="str" cm="1">
        <f t="array" ref="E55">IF(B55="","",_xll.BDP($B55,E$9,"fill=b"))</f>
        <v>SISTEMA ANHANGUERA BAND</v>
      </c>
      <c r="F55" s="150" t="str" cm="1">
        <f t="array" ref="F55">IF(B55="","",IF(LEFT(_xlfn.SINGLE(_xll.BDP($B55,F$9,"fill=b")),1)="#","-",_xll.BDP($B55,F$9,"fill=b")))</f>
        <v>MOTV3 BZ</v>
      </c>
      <c r="G55" s="150" t="str" cm="1">
        <f t="array" ref="G55">IF(B55="","",_xll.BDP($B55,G$9,"fill=b"))</f>
        <v>BRAZIL PERCENT DI</v>
      </c>
      <c r="H55" s="150" t="str" cm="1">
        <f t="array" ref="H55">IF(B55="","",_xll.BDP($B55,H$9,"fill=b"))</f>
        <v>OVRA BZDI *109.00000</v>
      </c>
      <c r="I55" s="150" t="str" cm="1">
        <f t="array" ref="I55">IF(LEFT(_xlfn.SINGLE(_xll.BDP(B55,"REFERENCE_INDEX")),1)="#",IF(LEFT(_xlfn.SINGLE(_xll.BDP(B55, "RESET_IDX"))&amp;" Index",1)="#","",_xlfn.SINGLE(_xll.BDP(B55, "RESET_IDX"))&amp;" Index"),_xll.BDP(B55,"REFERENCE_INDEX"))</f>
        <v>BZDIOVRA Index</v>
      </c>
      <c r="J55" s="150" cm="1">
        <f t="array" ref="J55">IF(I55="BZDIOVRA Index",IF(_xlfn.SINGLE(_xll.BDP(B55,"FLT_SPREAD"))/100=0,_xll.BDP(B55,"FLT_BENCH_MULTIPLIER"),_xlfn.SINGLE(_xll.BDP(B55,"FLT_SPREAD"))/100),"")</f>
        <v>109</v>
      </c>
      <c r="K55" s="150" t="str" cm="1">
        <f t="array" ref="K55">IF(B55="","",IF(LEFT(_xlfn.SINGLE(_xll.BDP($B55,K$9,"fill=b")),1)="#","-",_xll.BDP($B55,K$9,"fill=b")))</f>
        <v>-</v>
      </c>
      <c r="L55" s="233"/>
      <c r="M55" s="234" t="e">
        <f t="shared" si="3"/>
        <v>#VALUE!</v>
      </c>
      <c r="N55" s="252" t="e">
        <f>IF(B55="","",IF(R55="",IF(OR(AD55="SINKABLE",AD55="CALL/SINK"),_xll.BDP(B55,$N$9,$M$9,M55,"PRICING SOURCE",$C$6,"FILL=B"),_xll.BDP(B55,$N$9,$M$9,M55,"PRICING SOURCE",$C$6,"FILL=B")),IF(OR(AD55="SINKABLE",AD55="CALL/SINK"),_xll.BDP(B55,$N$9,$Q$10,S55,$M$9,M55,"PRICING SOURCE",$C$6,"FILL=B"),_xll.BDP(B55,$N$9,$Q$9,S55,$M$9,M55,"PRICING SOURCE",$C$6,"FILL=B"))))</f>
        <v>#VALUE!</v>
      </c>
      <c r="O55" s="235"/>
      <c r="P55" s="236" t="e">
        <f t="shared" si="16"/>
        <v>#VALUE!</v>
      </c>
      <c r="Q55" s="166" t="str">
        <f>IF(ISERROR((IF(OR(AD55="SINKABLE",AD55="CALL/SINK"),_xll.BDP($B55,$Q$10,"fill=b","PRICING_SOURCE",$C$6,$AC55,$N$9,$P55,$M$9,$M55),_xll.BDP($B55,Q$9,"fill=b","PRICING_SOURCE",$C$6,$AC55,$N$9,$P55,$M$9,$M55)))*1),"",IF(OR(AD55="SINKABLE",AD55="CALL/SINK"),_xll.BDP($B55,$Q$10,"fill=b","PRICING_SOURCE",$C$6,$AC55,$N$9,$P55,$M$9,$M55),_xll.BDP($B55,Q$9,"fill=b","PRICING_SOURCE",$C$6,$AC55,$N$9,$P55,$M$9,$M55)))</f>
        <v/>
      </c>
      <c r="R55" s="237"/>
      <c r="S55" s="238" t="str">
        <f t="shared" si="17"/>
        <v/>
      </c>
      <c r="T55" s="239" t="str" cm="1">
        <f t="array" ref="T55">IF(ISERROR((_xlfn.SINGLE(IF(OR(AD55="SINKABLE",AD55="CALL/SINK"),_xll.BDP($B55,$Q$10,"fill=b","PRICING_SOURCE",$C$6,$AC55,$M$9,$U55,"px ask",$AE55),_xll.BDP($B55,Q$9,"fill=b","PRICING_SOURCE",$C$6,$AC55,$M$9,$U55,"px ask",$AE55))))*1),"",IF(OR(AD55="SINKABLE",AD55="CALL/SINK"),_xll.BDP($B55,$Q$10,"fill=b","PRICING_SOURCE",$C$6,$AC55,$M$9,$U55,"px ask",$AE55),_xll.BDP($B55,Q$9,"fill=b","PRICING_SOURCE",$C$6,$AC55,$M$9,$U55,"px ask",$AE55)))</f>
        <v/>
      </c>
      <c r="U55" s="240" t="str">
        <f t="shared" si="13"/>
        <v>20121019</v>
      </c>
      <c r="V55" s="254" t="e" cm="1">
        <f t="array" ref="V55">IF(B55="","",IF(I55="BZDIOVRA Index",IF(OR(AD55="SINKABLE",AD55="CALL/SINK"),_xll.BDP($B55,"PX_ASK",$Q$10,J55,$M$9,M55),_xll.BDP($B55,"PX_"&amp;$H$7,$Q$9,J55,$M$9,M55)),_xll.BDP($B55,"PX_"&amp;$H$7,$Q$9,_xll.BDP(B55,"CPN"),$M$9,M55)))</f>
        <v>#VALUE!</v>
      </c>
      <c r="W55" s="254" t="str">
        <f t="shared" si="14"/>
        <v/>
      </c>
      <c r="X55" s="166" t="e">
        <f>IF(B55="","",IF(OR(AD55="SINKABLE",AD55="CALL/SINK"),_xll.BDP($B55,X$9,"fill=b","PRICING_SOURCE",$C$6,$AC55,$M$9,$M55,$N$9,$P55,$Q$10,$S55),_xll.BDP($B55,X$9,"fill=b","PRICING_SOURCE",$C$6,$AC55,$M$9,$M55,$N$9,$P55,$Q$9,$S55)))</f>
        <v>#VALUE!</v>
      </c>
      <c r="Y55" s="166" t="e">
        <f>IF(B55="","",IF(OR(AD55="SINKABLE",AD55="CALL/SINK"),_xll.BDP($B55,Y$9,"fill=b","PRICING_SOURCE",$C$6,$AC55,$M$9,$M55,$N$9,$P55,$Q$10,$S55),_xll.BDP($B55,Y$9,"fill=b","PRICING_SOURCE",$C$6,$AC55,$M$9,$M55,$N$9,$P55,$Q$9,$S55)))</f>
        <v>#VALUE!</v>
      </c>
      <c r="Z55" s="255" t="e">
        <f>IF(B55="","",IF(OR(AD55="SINKABLE",AD55="CALL/SINK"),_xll.BDP($B55,Z$9,"fill=b","PRICING_SOURCE",$C$6,$AC55,$M$9,$M55,$N$9,$P55,$Q$10,$S55),_xll.BDP($B55,Z$9,"fill=b","PRICING_SOURCE",$C$6,$AC55,$M$9,$M55,$N$9,$P55,$Q$9,$S55)))</f>
        <v>#VALUE!</v>
      </c>
      <c r="AA55" s="166" t="e">
        <f>IF(B55="","",IF(OR(AD55="SINKABLE",AD55="CALL/SINK"),_xll.BDP($B55,AA$9,"fill=b","PRICING_SOURCE",$C$6,$AC55,$M$9,$M55,$N$9,$P55,$Q$10,$S55),_xll.BDP($B55,AA$9,"fill=b","PRICING_SOURCE",$C$6,$AC55,$M$9,$M55,$N$9,$P55,$Q$9,$S55)))</f>
        <v>#VALUE!</v>
      </c>
      <c r="AB55" s="150" t="str" cm="1">
        <f t="array" ref="AB55">IF(B55="","",IF(LEFT(_xlfn.SINGLE(_xll.BDP($B55,AB$9,"fill=b")),1)="#","-",_xll.BDP($B55,AB$9,"fill=b")))</f>
        <v>9/15/2017</v>
      </c>
      <c r="AC55" s="150" t="str">
        <f t="shared" si="18"/>
        <v>YLD FLAG=28</v>
      </c>
      <c r="AD55" s="150" t="str" cm="1">
        <f t="array" ref="AD55">IF(B55="","",_xll.BDP($B55,AD$9,"fill=b"))</f>
        <v>SINKABLE</v>
      </c>
      <c r="AE55" s="256" cm="1">
        <f t="array" ref="AE55">IF(B55="","",IF(ISERROR(_xlfn.SINGLE(_xll.BDH(B55,"PX LAST",AN55,AN55,"DAYS=ALL","PRICING SOURCE",$C$6))*1),_xll.BDP(B55,"PAR AMT"),_xll.BDH(B55,"PX LAST",AN55,AN55,"DAYS=ALL","PRICING SOURCE",$C$6)))</f>
        <v>125</v>
      </c>
      <c r="AF55" s="150" cm="1">
        <f t="array" ref="AF55">IF(B55="","",_xll.BDP($B55,AF$9,"fill=b"))</f>
        <v>2.5475368</v>
      </c>
      <c r="AG55" s="150"/>
      <c r="AH55" s="190">
        <f>IF(B55="","",IF($AD55="AT MATURITY",$AB55*1,_xll.BADDPERIODS(_xll.BDP($B55,"issue dt"),"numberofperiods",TRUNC(_xll.BDP($B55,"YRS_TO_LONGEST_AVG_LIFE","YLD_YTM_BID",AF55,"SETTLE_DT",U55,AC55),0),"per=y")+(ROUND(MOD(_xll.BDP(B55,"YRS_TO_LONGEST_AVG_LIFE","YLD_YTM_BID",AF55,"SETTLE_DT",U55,AC55),1)*360,0))))</f>
        <v>42674</v>
      </c>
      <c r="AI55" s="150" t="e" cm="1">
        <f t="array" ref="AI55">IF(B55="","",AF55-_xll.BInterpol(_xll.BDP(_xll.BDS("YCGT0372 Index","curve members","CURVE_DATE", $U55,"endcol=1","array=true"),"maturity")*1,_xll.BDH(_xll.BDS("YCGT0372 Index","curve members","CURVE_DATE", $U55,"endcol=1","array=true"),"yld cnv mid",$U55,$U55,"days=all"),AH55,"CUBIC","Extrapolate=LINEAR","SKIP=TRUE","SORT=TRUE","MultiX=Average"))</f>
        <v>#VALUE!</v>
      </c>
      <c r="AJ55" s="189">
        <f t="shared" si="15"/>
        <v>109</v>
      </c>
      <c r="AK55" s="257" t="str" cm="1">
        <f t="array" ref="AK55">IF(B55="","",_xll.BDP($B55,AK$9,"fill=b"))</f>
        <v>965MM</v>
      </c>
      <c r="AL55" s="257" t="str" cm="1">
        <f t="array" ref="AL55">IF(B55="","",_xll.BDP($B55,AL$9,"fill=b"))</f>
        <v>0</v>
      </c>
      <c r="AM55" s="256" cm="1">
        <f t="array" ref="AM55">IF(B55="","",_xll.BDP($B55,AM$9,"fill=b"))</f>
        <v>125</v>
      </c>
      <c r="AN55" s="150" t="str" cm="1">
        <f t="array" ref="AN55">IF(B55="","",_xll.BDP($B55,AN$9,"fill=b"))</f>
        <v>10/19/2012</v>
      </c>
      <c r="AO55" s="150" t="str" cm="1">
        <f t="array" ref="AO55">IF(B55="","",IF(LEFT(_xlfn.SINGLE(_xll.BDP($B55,AO$9,"fill=b")),1)="#","-",_xll.BDP($B55,AO$9,"fill=b")))</f>
        <v>HSBC</v>
      </c>
      <c r="AP55" s="150" t="str" cm="1">
        <f t="array" ref="AP55">IF(B55="","",_xll.BDP($B55,AP$9,"fill=b"))</f>
        <v>Consumer, Non-cyclical</v>
      </c>
      <c r="AQ55" s="150" t="str" cm="1">
        <f t="array" ref="AQ55">IF(B55="","",_xll.BDP($B55,AQ$9,"fill=b"))</f>
        <v>Commercial Services</v>
      </c>
      <c r="AR55" s="150" t="str" cm="1">
        <f t="array" ref="AR55">IF(B55="","",_xll.BDP($B55,AR$9,"fill=b"))</f>
        <v>NR</v>
      </c>
      <c r="AS55" s="150" t="str" cm="1">
        <f t="array" ref="AS55">IF(B55="","",_xll.BDP($B55,AS$9,"fill=b"))</f>
        <v>WR</v>
      </c>
      <c r="AT55" s="150" t="str" cm="1">
        <f t="array" ref="AT55">IF(B55="","",_xll.BDP($B55,AT$9,"fill=b"))</f>
        <v/>
      </c>
      <c r="AU55" s="258" t="str" cm="1">
        <f t="array" ref="AU55">IF(B55="","",_xll.BDP($B55,AU$9,"fill=b"))</f>
        <v>CPN = BZDIOVRA INDEX * 109%</v>
      </c>
    </row>
    <row r="56" spans="2:47" ht="15" x14ac:dyDescent="0.25">
      <c r="B56" s="232" t="s">
        <v>256</v>
      </c>
      <c r="C56" s="150" t="str" cm="1">
        <f t="array" ref="C56">IF(B56="","",_xll.BDP($B56,C$9,"fill=b"))</f>
        <v>TAEE23</v>
      </c>
      <c r="D56" s="150" t="str" cm="1">
        <f t="array" ref="D56">IF(B56="","",_xll.BDP($B56,D$9,"fill=b"))</f>
        <v>TAEEBZ 4.85 10/15/20</v>
      </c>
      <c r="E56" s="150" t="str" cm="1">
        <f t="array" ref="E56">IF(B56="","",_xll.BDP($B56,E$9,"fill=b"))</f>
        <v>TRANSMISSORA ALIANCA EN</v>
      </c>
      <c r="F56" s="150" t="str" cm="1">
        <f t="array" ref="F56">IF(B56="","",IF(LEFT(_xlfn.SINGLE(_xll.BDP($B56,F$9,"fill=b")),1)="#","-",_xll.BDP($B56,F$9,"fill=b")))</f>
        <v>TAEE11 BZ</v>
      </c>
      <c r="G56" s="150" t="str" cm="1">
        <f t="array" ref="G56">IF(B56="","",_xll.BDP($B56,G$9,"fill=b"))</f>
        <v>BRAZIL IPCA+SPREAD</v>
      </c>
      <c r="H56" s="150" t="str" cm="1">
        <f t="array" ref="H56">IF(B56="","",_xll.BDP($B56,H$9,"fill=b"))</f>
        <v/>
      </c>
      <c r="I56" s="150" t="str" cm="1">
        <f t="array" ref="I56">IF(LEFT(_xlfn.SINGLE(_xll.BDP(B56,"REFERENCE_INDEX")),1)="#",IF(LEFT(_xlfn.SINGLE(_xll.BDP(B56, "RESET_IDX"))&amp;" Index",1)="#","",_xlfn.SINGLE(_xll.BDP(B56, "RESET_IDX"))&amp;" Index"),_xll.BDP(B56,"REFERENCE_INDEX"))</f>
        <v>BZCLVLUE Index</v>
      </c>
      <c r="J56" s="150" t="str">
        <f>IF(I56="BZDIOVRA Index",IF(_xll.BDP(B56,"FLT_SPREAD")/100=0,_xll.BDP(B56,"FLT_BENCH_MULTIPLIER"),_xll.BDP(B56,"FLT_SPREAD")/100),"")</f>
        <v/>
      </c>
      <c r="K56" s="150" t="str" cm="1">
        <f t="array" ref="K56">IF(B56="","",IF(LEFT(_xlfn.SINGLE(_xll.BDP($B56,K$9,"fill=b")),1)="#","-",_xll.BDP($B56,K$9,"fill=b")))</f>
        <v>-</v>
      </c>
      <c r="L56" s="233"/>
      <c r="M56" s="234" t="e">
        <f t="shared" si="3"/>
        <v>#VALUE!</v>
      </c>
      <c r="N56" s="252" t="e">
        <f>IF(B56="","",IF(R56="",IF(OR(AD56="SINKABLE",AD56="CALL/SINK"),_xll.BDP(B56,$N$9,$M$9,M56,"PRICING SOURCE",$C$6,"FILL=B"),_xll.BDP(B56,$N$9,$M$9,M56,"PRICING SOURCE",$C$6,"FILL=B")),IF(OR(AD56="SINKABLE",AD56="CALL/SINK"),_xll.BDP(B56,$N$9,$Q$10,S56,$M$9,M56,"PRICING SOURCE",$C$6,"FILL=B"),_xll.BDP(B56,$N$9,$Q$9,S56,$M$9,M56,"PRICING SOURCE",$C$6,"FILL=B"))))</f>
        <v>#VALUE!</v>
      </c>
      <c r="O56" s="235"/>
      <c r="P56" s="236" t="e">
        <f t="shared" si="16"/>
        <v>#VALUE!</v>
      </c>
      <c r="Q56" s="166" t="str">
        <f>IF(ISERROR((IF(OR(AD56="SINKABLE",AD56="CALL/SINK"),_xll.BDP($B56,$Q$10,"fill=b","PRICING_SOURCE",$C$6,$AC56,$N$9,$P56,$M$9,$M56),_xll.BDP($B56,Q$9,"fill=b","PRICING_SOURCE",$C$6,$AC56,$N$9,$P56,$M$9,$M56)))*1),"",IF(OR(AD56="SINKABLE",AD56="CALL/SINK"),_xll.BDP($B56,$Q$10,"fill=b","PRICING_SOURCE",$C$6,$AC56,$N$9,$P56,$M$9,$M56),_xll.BDP($B56,Q$9,"fill=b","PRICING_SOURCE",$C$6,$AC56,$N$9,$P56,$M$9,$M56)))</f>
        <v/>
      </c>
      <c r="R56" s="237"/>
      <c r="S56" s="238" t="str">
        <f t="shared" si="17"/>
        <v/>
      </c>
      <c r="T56" s="239" cm="1">
        <f t="array" ref="T56">IF(ISERROR((_xlfn.SINGLE(IF(OR(AD56="SINKABLE",AD56="CALL/SINK"),_xll.BDP($B56,$Q$10,"fill=b","PRICING_SOURCE",$C$6,$AC56,$M$9,$U56,"px ask",$AE56),_xll.BDP($B56,Q$9,"fill=b","PRICING_SOURCE",$C$6,$AC56,$M$9,$U56,"px ask",$AE56))))*1),"",IF(OR(AD56="SINKABLE",AD56="CALL/SINK"),_xll.BDP($B56,$Q$10,"fill=b","PRICING_SOURCE",$C$6,$AC56,$M$9,$U56,"px ask",$AE56),_xll.BDP($B56,Q$9,"fill=b","PRICING_SOURCE",$C$6,$AC56,$M$9,$U56,"px ask",$AE56)))</f>
        <v>67.317630511810648</v>
      </c>
      <c r="U56" s="240" t="str">
        <f t="shared" si="13"/>
        <v>20121015</v>
      </c>
      <c r="V56" s="254" t="e" cm="1">
        <f t="array" ref="V56">IF(B56="","",IF(I56="BZDIOVRA Index",IF(OR(AD56="SINKABLE",AD56="CALL/SINK"),_xll.BDP($B56,"PX_ASK",$Q$10,J56,$M$9,M56),_xll.BDP($B56,"PX_"&amp;$H$7,$Q$9,J56,$M$9,M56)),_xll.BDP($B56,"PX_"&amp;$H$7,$Q$9,_xll.BDP(B56,"CPN"),$M$9,M56)))</f>
        <v>#VALUE!</v>
      </c>
      <c r="W56" s="254" t="str">
        <f t="shared" si="14"/>
        <v/>
      </c>
      <c r="X56" s="166" t="e">
        <f>IF(B56="","",IF(OR(AD56="SINKABLE",AD56="CALL/SINK"),_xll.BDP($B56,X$9,"fill=b","PRICING_SOURCE",$C$6,$AC56,$M$9,$M56,$N$9,$P56,$Q$10,$S56),_xll.BDP($B56,X$9,"fill=b","PRICING_SOURCE",$C$6,$AC56,$M$9,$M56,$N$9,$P56,$Q$9,$S56)))</f>
        <v>#VALUE!</v>
      </c>
      <c r="Y56" s="166" t="e">
        <f>IF(B56="","",IF(OR(AD56="SINKABLE",AD56="CALL/SINK"),_xll.BDP($B56,Y$9,"fill=b","PRICING_SOURCE",$C$6,$AC56,$M$9,$M56,$N$9,$P56,$Q$10,$S56),_xll.BDP($B56,Y$9,"fill=b","PRICING_SOURCE",$C$6,$AC56,$M$9,$M56,$N$9,$P56,$Q$9,$S56)))</f>
        <v>#VALUE!</v>
      </c>
      <c r="Z56" s="255" t="e">
        <f>IF(B56="","",IF(OR(AD56="SINKABLE",AD56="CALL/SINK"),_xll.BDP($B56,Z$9,"fill=b","PRICING_SOURCE",$C$6,$AC56,$M$9,$M56,$N$9,$P56,$Q$10,$S56),_xll.BDP($B56,Z$9,"fill=b","PRICING_SOURCE",$C$6,$AC56,$M$9,$M56,$N$9,$P56,$Q$9,$S56)))</f>
        <v>#VALUE!</v>
      </c>
      <c r="AA56" s="166" t="e">
        <f>IF(B56="","",IF(OR(AD56="SINKABLE",AD56="CALL/SINK"),_xll.BDP($B56,AA$9,"fill=b","PRICING_SOURCE",$C$6,$AC56,$M$9,$M56,$N$9,$P56,$Q$10,$S56),_xll.BDP($B56,AA$9,"fill=b","PRICING_SOURCE",$C$6,$AC56,$M$9,$M56,$N$9,$P56,$Q$9,$S56)))</f>
        <v>#VALUE!</v>
      </c>
      <c r="AB56" s="150" t="str" cm="1">
        <f t="array" ref="AB56">IF(B56="","",IF(LEFT(_xlfn.SINGLE(_xll.BDP($B56,AB$9,"fill=b")),1)="#","-",_xll.BDP($B56,AB$9,"fill=b")))</f>
        <v>10/15/2020</v>
      </c>
      <c r="AC56" s="150" t="str">
        <f t="shared" si="18"/>
        <v>YLD FLAG=28</v>
      </c>
      <c r="AD56" s="150" t="str" cm="1">
        <f t="array" ref="AD56">IF(B56="","",_xll.BDP($B56,AD$9,"fill=b"))</f>
        <v>SINKABLE</v>
      </c>
      <c r="AE56" s="256" cm="1">
        <f t="array" ref="AE56">IF(B56="","",IF(ISERROR(_xlfn.SINGLE(_xll.BDH(B56,"PX LAST",AN56,AN56,"DAYS=ALL","PRICING SOURCE",$C$6))*1),_xll.BDP(B56,"PAR AMT"),_xll.BDH(B56,"PX LAST",AN56,AN56,"DAYS=ALL","PRICING SOURCE",$C$6)))</f>
        <v>333.40000000000003</v>
      </c>
      <c r="AF56" s="150" cm="1">
        <f t="array" ref="AF56">IF(B56="","",_xll.BDP($B56,AF$9,"fill=b"))</f>
        <v>4.8499999999999996</v>
      </c>
      <c r="AG56" s="150"/>
      <c r="AH56" s="190">
        <f>IF(B56="","",IF($AD56="AT MATURITY",$AB56*1,_xll.BADDPERIODS(_xll.BDP($B56,"issue dt"),"numberofperiods",TRUNC(_xll.BDP($B56,"YRS_TO_LONGEST_AVG_LIFE","YLD_YTM_BID",AF56,"SETTLE_DT",U56,AC56),0),"per=y")+(ROUND(MOD(_xll.BDP(B56,"YRS_TO_LONGEST_AVG_LIFE","YLD_YTM_BID",AF56,"SETTLE_DT",U56,AC56),1)*360,0))))</f>
        <v>66777</v>
      </c>
      <c r="AI56" s="150" t="e">
        <f t="array" ref="AI56">IF(B56="","",AF56-_xll.BInterpol(_xll.BDP(_xll.BDS("YCGT0372 Index","curve members","CURVE_DATE", $U56,"endcol=1","array=true"),"maturity")*1,_xll.BDH(_xll.BDS("YCGT0372 Index","curve members","CURVE_DATE", $U56,"endcol=1","array=true"),"yld cnv mid",$U56,$U56,"days=all"),AH56,"CUBIC","Extrapolate=LINEAR","SKIP=TRUE","SORT=TRUE","MultiX=Average"))</f>
        <v>#VALUE!</v>
      </c>
      <c r="AJ56" s="189" t="str">
        <f t="shared" si="15"/>
        <v/>
      </c>
      <c r="AK56" s="257" t="str" cm="1">
        <f t="array" ref="AK56">IF(B56="","",_xll.BDP($B56,AK$9,"fill=b"))</f>
        <v>793MM</v>
      </c>
      <c r="AL56" s="257" t="str" cm="1">
        <f t="array" ref="AL56">IF(B56="","",_xll.BDP($B56,AL$9,"fill=b"))</f>
        <v>0</v>
      </c>
      <c r="AM56" s="256" cm="1">
        <f t="array" ref="AM56">IF(B56="","",_xll.BDP($B56,AM$9,"fill=b"))</f>
        <v>333.40000000000003</v>
      </c>
      <c r="AN56" s="150" t="str" cm="1">
        <f t="array" ref="AN56">IF(B56="","",_xll.BDP($B56,AN$9,"fill=b"))</f>
        <v>10/15/2012</v>
      </c>
      <c r="AO56" s="150" t="str" cm="1">
        <f t="array" ref="AO56">IF(B56="","",IF(LEFT(_xlfn.SINGLE(_xll.BDP($B56,AO$9,"fill=b")),1)="#","-",_xll.BDP($B56,AO$9,"fill=b")))</f>
        <v>ITABBA</v>
      </c>
      <c r="AP56" s="150" t="str" cm="1">
        <f t="array" ref="AP56">IF(B56="","",_xll.BDP($B56,AP$9,"fill=b"))</f>
        <v>Utilities</v>
      </c>
      <c r="AQ56" s="150" t="str" cm="1">
        <f t="array" ref="AQ56">IF(B56="","",_xll.BDP($B56,AQ$9,"fill=b"))</f>
        <v>Electric</v>
      </c>
      <c r="AR56" s="150" t="str" cm="1">
        <f t="array" ref="AR56">IF(B56="","",_xll.BDP($B56,AR$9,"fill=b"))</f>
        <v>NR</v>
      </c>
      <c r="AS56" s="150" t="str" cm="1">
        <f t="array" ref="AS56">IF(B56="","",_xll.BDP($B56,AS$9,"fill=b"))</f>
        <v>WR</v>
      </c>
      <c r="AT56" s="150" t="str" cm="1">
        <f t="array" ref="AT56">IF(B56="","",_xll.BDP($B56,AT$9,"fill=b"))</f>
        <v>NR</v>
      </c>
      <c r="AU56" s="258" t="str" cm="1">
        <f t="array" ref="AU56">IF(B56="","",_xll.BDP($B56,AU$9,"fill=b"))</f>
        <v>CPN = BZCLVLUE INDEX + 485BP</v>
      </c>
    </row>
    <row r="57" spans="2:47" ht="15" x14ac:dyDescent="0.25">
      <c r="B57" s="232" t="s">
        <v>253</v>
      </c>
      <c r="C57" s="150" t="str" cm="1">
        <f t="array" ref="C57">IF(B57="","",_xll.BDP($B57,C$9,"fill=b"))</f>
        <v>TAEE33</v>
      </c>
      <c r="D57" s="150" t="str" cm="1">
        <f t="array" ref="D57">IF(B57="","",_xll.BDP($B57,D$9,"fill=b"))</f>
        <v>TAEEBZ 5.1 10/15/24</v>
      </c>
      <c r="E57" s="150" t="str" cm="1">
        <f t="array" ref="E57">IF(B57="","",_xll.BDP($B57,E$9,"fill=b"))</f>
        <v>TRANSMISSORA ALIANCA EN</v>
      </c>
      <c r="F57" s="150" t="str" cm="1">
        <f t="array" ref="F57">IF(B57="","",IF(LEFT(_xlfn.SINGLE(_xll.BDP($B57,F$9,"fill=b")),1)="#","-",_xll.BDP($B57,F$9,"fill=b")))</f>
        <v>TAEE11 BZ</v>
      </c>
      <c r="G57" s="150" t="str" cm="1">
        <f t="array" ref="G57">IF(B57="","",_xll.BDP($B57,G$9,"fill=b"))</f>
        <v>BRAZIL IPCA+SPREAD</v>
      </c>
      <c r="H57" s="150" t="str" cm="1">
        <f t="array" ref="H57">IF(B57="","",_xll.BDP($B57,H$9,"fill=b"))</f>
        <v/>
      </c>
      <c r="I57" s="150" t="str" cm="1">
        <f t="array" ref="I57">IF(LEFT(_xlfn.SINGLE(_xll.BDP(B57,"REFERENCE_INDEX")),1)="#",IF(LEFT(_xlfn.SINGLE(_xll.BDP(B57, "RESET_IDX"))&amp;" Index",1)="#","",_xlfn.SINGLE(_xll.BDP(B57, "RESET_IDX"))&amp;" Index"),_xll.BDP(B57,"REFERENCE_INDEX"))</f>
        <v>BZCLVLUE Index</v>
      </c>
      <c r="J57" s="150" t="str">
        <f>IF(I57="BZDIOVRA Index",IF(_xll.BDP(B57,"FLT_SPREAD")/100=0,_xll.BDP(B57,"FLT_BENCH_MULTIPLIER"),_xll.BDP(B57,"FLT_SPREAD")/100),"")</f>
        <v/>
      </c>
      <c r="K57" s="150" t="str" cm="1">
        <f t="array" ref="K57">IF(B57="","",IF(LEFT(_xlfn.SINGLE(_xll.BDP($B57,K$9,"fill=b")),1)="#","-",_xll.BDP($B57,K$9,"fill=b")))</f>
        <v>-</v>
      </c>
      <c r="L57" s="233"/>
      <c r="M57" s="234" t="e">
        <f t="shared" si="3"/>
        <v>#VALUE!</v>
      </c>
      <c r="N57" s="252" t="e">
        <f>IF(B57="","",IF(R57="",IF(OR(AD57="SINKABLE",AD57="CALL/SINK"),_xll.BDP(B57,$N$9,$M$9,M57,"PRICING SOURCE",$C$6,"FILL=B"),_xll.BDP(B57,$N$9,$M$9,M57,"PRICING SOURCE",$C$6,"FILL=B")),IF(OR(AD57="SINKABLE",AD57="CALL/SINK"),_xll.BDP(B57,$N$9,$Q$10,S57,$M$9,M57,"PRICING SOURCE",$C$6,"FILL=B"),_xll.BDP(B57,$N$9,$Q$9,S57,$M$9,M57,"PRICING SOURCE",$C$6,"FILL=B"))))</f>
        <v>#VALUE!</v>
      </c>
      <c r="O57" s="235"/>
      <c r="P57" s="236" t="e">
        <f t="shared" si="16"/>
        <v>#VALUE!</v>
      </c>
      <c r="Q57" s="166" t="str">
        <f>IF(ISERROR((IF(OR(AD57="SINKABLE",AD57="CALL/SINK"),_xll.BDP($B57,$Q$10,"fill=b","PRICING_SOURCE",$C$6,$AC57,$N$9,$P57,$M$9,$M57),_xll.BDP($B57,Q$9,"fill=b","PRICING_SOURCE",$C$6,$AC57,$N$9,$P57,$M$9,$M57)))*1),"",IF(OR(AD57="SINKABLE",AD57="CALL/SINK"),_xll.BDP($B57,$Q$10,"fill=b","PRICING_SOURCE",$C$6,$AC57,$N$9,$P57,$M$9,$M57),_xll.BDP($B57,Q$9,"fill=b","PRICING_SOURCE",$C$6,$AC57,$N$9,$P57,$M$9,$M57)))</f>
        <v/>
      </c>
      <c r="R57" s="237"/>
      <c r="S57" s="238" t="str">
        <f t="shared" si="17"/>
        <v/>
      </c>
      <c r="T57" s="239" cm="1">
        <f t="array" ref="T57">IF(ISERROR((_xlfn.SINGLE(IF(OR(AD57="SINKABLE",AD57="CALL/SINK"),_xll.BDP($B57,$Q$10,"fill=b","PRICING_SOURCE",$C$6,$AC57,$M$9,$U57,"px ask",$AE57),_xll.BDP($B57,Q$9,"fill=b","PRICING_SOURCE",$C$6,$AC57,$M$9,$U57,"px ask",$AE57))))*1),"",IF(OR(AD57="SINKABLE",AD57="CALL/SINK"),_xll.BDP($B57,$Q$10,"fill=b","PRICING_SOURCE",$C$6,$AC57,$M$9,$U57,"px ask",$AE57),_xll.BDP($B57,Q$9,"fill=b","PRICING_SOURCE",$C$6,$AC57,$M$9,$U57,"px ask",$AE57)))</f>
        <v>56.40040266898302</v>
      </c>
      <c r="U57" s="240" t="str">
        <f t="shared" si="13"/>
        <v>20121015</v>
      </c>
      <c r="V57" s="254" t="e" cm="1">
        <f t="array" ref="V57">IF(B57="","",IF(I57="BZDIOVRA Index",IF(OR(AD57="SINKABLE",AD57="CALL/SINK"),_xll.BDP($B57,"PX_ASK",$Q$10,J57,$M$9,M57),_xll.BDP($B57,"PX_"&amp;$H$7,$Q$9,J57,$M$9,M57)),_xll.BDP($B57,"PX_"&amp;$H$7,$Q$9,_xll.BDP(B57,"CPN"),$M$9,M57)))</f>
        <v>#VALUE!</v>
      </c>
      <c r="W57" s="254" t="str">
        <f t="shared" si="14"/>
        <v/>
      </c>
      <c r="X57" s="166" t="e">
        <f>IF(B57="","",IF(OR(AD57="SINKABLE",AD57="CALL/SINK"),_xll.BDP($B57,X$9,"fill=b","PRICING_SOURCE",$C$6,$AC57,$M$9,$M57,$N$9,$P57,$Q$10,$S57),_xll.BDP($B57,X$9,"fill=b","PRICING_SOURCE",$C$6,$AC57,$M$9,$M57,$N$9,$P57,$Q$9,$S57)))</f>
        <v>#VALUE!</v>
      </c>
      <c r="Y57" s="166" t="e">
        <f>IF(B57="","",IF(OR(AD57="SINKABLE",AD57="CALL/SINK"),_xll.BDP($B57,Y$9,"fill=b","PRICING_SOURCE",$C$6,$AC57,$M$9,$M57,$N$9,$P57,$Q$10,$S57),_xll.BDP($B57,Y$9,"fill=b","PRICING_SOURCE",$C$6,$AC57,$M$9,$M57,$N$9,$P57,$Q$9,$S57)))</f>
        <v>#VALUE!</v>
      </c>
      <c r="Z57" s="255" t="e">
        <f>IF(B57="","",IF(OR(AD57="SINKABLE",AD57="CALL/SINK"),_xll.BDP($B57,Z$9,"fill=b","PRICING_SOURCE",$C$6,$AC57,$M$9,$M57,$N$9,$P57,$Q$10,$S57),_xll.BDP($B57,Z$9,"fill=b","PRICING_SOURCE",$C$6,$AC57,$M$9,$M57,$N$9,$P57,$Q$9,$S57)))</f>
        <v>#VALUE!</v>
      </c>
      <c r="AA57" s="166" t="e">
        <f>IF(B57="","",IF(OR(AD57="SINKABLE",AD57="CALL/SINK"),_xll.BDP($B57,AA$9,"fill=b","PRICING_SOURCE",$C$6,$AC57,$M$9,$M57,$N$9,$P57,$Q$10,$S57),_xll.BDP($B57,AA$9,"fill=b","PRICING_SOURCE",$C$6,$AC57,$M$9,$M57,$N$9,$P57,$Q$9,$S57)))</f>
        <v>#VALUE!</v>
      </c>
      <c r="AB57" s="150" t="str" cm="1">
        <f t="array" ref="AB57">IF(B57="","",IF(LEFT(_xlfn.SINGLE(_xll.BDP($B57,AB$9,"fill=b")),1)="#","-",_xll.BDP($B57,AB$9,"fill=b")))</f>
        <v>10/15/2024</v>
      </c>
      <c r="AC57" s="150" t="str">
        <f t="shared" si="18"/>
        <v>YLD FLAG=28</v>
      </c>
      <c r="AD57" s="150" t="str" cm="1">
        <f t="array" ref="AD57">IF(B57="","",_xll.BDP($B57,AD$9,"fill=b"))</f>
        <v>SINKABLE</v>
      </c>
      <c r="AE57" s="256" cm="1">
        <f t="array" ref="AE57">IF(B57="","",IF(ISERROR(_xlfn.SINGLE(_xll.BDH(B57,"PX LAST",AN57,AN57,"DAYS=ALL","PRICING SOURCE",$C$6))*1),_xll.BDP(B57,"PAR AMT"),_xll.BDH(B57,"PX LAST",AN57,AN57,"DAYS=ALL","PRICING SOURCE",$C$6)))</f>
        <v>250</v>
      </c>
      <c r="AF57" s="150" cm="1">
        <f t="array" ref="AF57">IF(B57="","",_xll.BDP($B57,AF$9,"fill=b"))</f>
        <v>5.0999999999999996</v>
      </c>
      <c r="AG57" s="150"/>
      <c r="AH57" s="190" t="e">
        <f>IF(B57="","",IF($AD57="AT MATURITY",$AB57*1,_xll.BADDPERIODS(_xll.BDP($B57,"issue dt"),"numberofperiods",TRUNC(_xll.BDP($B57,"YRS_TO_LONGEST_AVG_LIFE","YLD_YTM_BID",AF57,"SETTLE_DT",U57,AC57),0),"per=y")+(ROUND(MOD(_xll.BDP(B57,"YRS_TO_LONGEST_AVG_LIFE","YLD_YTM_BID",AF57,"SETTLE_DT",U57,AC57),1)*360,0))))</f>
        <v>#VALUE!</v>
      </c>
      <c r="AI57" s="150" t="e" cm="1">
        <f t="array" ref="AI57">IF(B57="","",AF57-_xll.BInterpol(_xll.BDP(_xll.BDS("YCGT0372 Index","curve members","CURVE_DATE", $U57,"endcol=1","array=true"),"maturity")*1,_xll.BDH(_xll.BDS("YCGT0372 Index","curve members","CURVE_DATE", $U57,"endcol=1","array=true"),"yld cnv mid",$U57,$U57,"days=all"),AH57,"CUBIC","Extrapolate=LINEAR","SKIP=TRUE","SORT=TRUE","MultiX=Average"))</f>
        <v>#VALUE!</v>
      </c>
      <c r="AJ57" s="189" t="str">
        <f t="shared" si="15"/>
        <v/>
      </c>
      <c r="AK57" s="257" t="str" cm="1">
        <f t="array" ref="AK57">IF(B57="","",_xll.BDP($B57,AK$9,"fill=b"))</f>
        <v>702MM</v>
      </c>
      <c r="AL57" s="257" t="str" cm="1">
        <f t="array" ref="AL57">IF(B57="","",_xll.BDP($B57,AL$9,"fill=b"))</f>
        <v>0</v>
      </c>
      <c r="AM57" s="256" cm="1">
        <f t="array" ref="AM57">IF(B57="","",_xll.BDP($B57,AM$9,"fill=b"))</f>
        <v>250</v>
      </c>
      <c r="AN57" s="150" t="str" cm="1">
        <f t="array" ref="AN57">IF(B57="","",_xll.BDP($B57,AN$9,"fill=b"))</f>
        <v>10/15/2012</v>
      </c>
      <c r="AO57" s="150" t="str" cm="1">
        <f t="array" ref="AO57">IF(B57="","",IF(LEFT(_xlfn.SINGLE(_xll.BDP($B57,AO$9,"fill=b")),1)="#","-",_xll.BDP($B57,AO$9,"fill=b")))</f>
        <v>ITABBA</v>
      </c>
      <c r="AP57" s="150" t="str" cm="1">
        <f t="array" ref="AP57">IF(B57="","",_xll.BDP($B57,AP$9,"fill=b"))</f>
        <v>Utilities</v>
      </c>
      <c r="AQ57" s="150" t="str" cm="1">
        <f t="array" ref="AQ57">IF(B57="","",_xll.BDP($B57,AQ$9,"fill=b"))</f>
        <v>Electric</v>
      </c>
      <c r="AR57" s="150" t="str" cm="1">
        <f t="array" ref="AR57">IF(B57="","",_xll.BDP($B57,AR$9,"fill=b"))</f>
        <v>NR</v>
      </c>
      <c r="AS57" s="150" t="str" cm="1">
        <f t="array" ref="AS57">IF(B57="","",_xll.BDP($B57,AS$9,"fill=b"))</f>
        <v>WR</v>
      </c>
      <c r="AT57" s="150" t="str" cm="1">
        <f t="array" ref="AT57">IF(B57="","",_xll.BDP($B57,AT$9,"fill=b"))</f>
        <v>NR</v>
      </c>
      <c r="AU57" s="258" t="str" cm="1">
        <f t="array" ref="AU57">IF(B57="","",_xll.BDP($B57,AU$9,"fill=b"))</f>
        <v>CPN = BZCLVLUE INDEX + 510BP</v>
      </c>
    </row>
    <row r="58" spans="2:47" ht="15" x14ac:dyDescent="0.25">
      <c r="B58" s="232" t="s">
        <v>273</v>
      </c>
      <c r="C58" s="150" t="str" cm="1">
        <f t="array" ref="C58">IF(B58="","",_xll.BDP($B58,C$9,"fill=b"))</f>
        <v>ALGA22</v>
      </c>
      <c r="D58" s="150" t="str" cm="1">
        <f t="array" ref="D58">IF(B58="","",_xll.BDP($B58,D$9,"fill=b"))</f>
        <v>CTBON 6 09/15/19</v>
      </c>
      <c r="E58" s="150" t="str" cm="1">
        <f t="array" ref="E58">IF(B58="","",_xll.BDP($B58,E$9,"fill=b"))</f>
        <v>ALGAR TELECOM SA</v>
      </c>
      <c r="F58" s="150" t="str" cm="1">
        <f t="array" ref="F58">IF(B58="","",IF(LEFT(_xlfn.SINGLE(_xll.BDP($B58,F$9,"fill=b")),1)="#","-",_xll.BDP($B58,F$9,"fill=b")))</f>
        <v>0851200D BZ</v>
      </c>
      <c r="G58" s="150" t="str" cm="1">
        <f t="array" ref="G58">IF(B58="","",_xll.BDP($B58,G$9,"fill=b"))</f>
        <v>BRAZIL IPCA+SPREAD</v>
      </c>
      <c r="H58" s="150" t="str" cm="1">
        <f t="array" ref="H58">IF(B58="","",_xll.BDP($B58,H$9,"fill=b"))</f>
        <v/>
      </c>
      <c r="I58" s="150" t="str" cm="1">
        <f t="array" ref="I58">IF(LEFT(_xlfn.SINGLE(_xll.BDP(B58,"REFERENCE_INDEX")),1)="#",IF(LEFT(_xlfn.SINGLE(_xll.BDP(B58, "RESET_IDX"))&amp;" Index",1)="#","",_xlfn.SINGLE(_xll.BDP(B58, "RESET_IDX"))&amp;" Index"),_xll.BDP(B58,"REFERENCE_INDEX"))</f>
        <v>BZCLVLUE Index</v>
      </c>
      <c r="J58" s="150" t="str">
        <f>IF(I58="BZDIOVRA Index",IF(_xll.BDP(B58,"FLT_SPREAD")/100=0,_xll.BDP(B58,"FLT_BENCH_MULTIPLIER"),_xll.BDP(B58,"FLT_SPREAD")/100),"")</f>
        <v/>
      </c>
      <c r="K58" s="150" t="str" cm="1">
        <f t="array" ref="K58">IF(B58="","",IF(LEFT(_xlfn.SINGLE(_xll.BDP($B58,K$9,"fill=b")),1)="#","-",_xll.BDP($B58,K$9,"fill=b")))</f>
        <v>-</v>
      </c>
      <c r="L58" s="233"/>
      <c r="M58" s="234" t="e">
        <f t="shared" si="3"/>
        <v>#VALUE!</v>
      </c>
      <c r="N58" s="252" t="e">
        <f>IF(B58="","",IF(R58="",IF(OR(AD58="SINKABLE",AD58="CALL/SINK"),_xll.BDP(B58,$N$9,$M$9,M58,"PRICING SOURCE",$C$6,"FILL=B"),_xll.BDP(B58,$N$9,$M$9,M58,"PRICING SOURCE",$C$6,"FILL=B")),IF(OR(AD58="SINKABLE",AD58="CALL/SINK"),_xll.BDP(B58,$N$9,$Q$10,S58,$M$9,M58,"PRICING SOURCE",$C$6,"FILL=B"),_xll.BDP(B58,$N$9,$Q$9,S58,$M$9,M58,"PRICING SOURCE",$C$6,"FILL=B"))))</f>
        <v>#VALUE!</v>
      </c>
      <c r="O58" s="235"/>
      <c r="P58" s="236" t="e">
        <f t="shared" si="16"/>
        <v>#VALUE!</v>
      </c>
      <c r="Q58" s="166" t="str">
        <f>IF(ISERROR((IF(OR(AD58="SINKABLE",AD58="CALL/SINK"),_xll.BDP($B58,$Q$10,"fill=b","PRICING_SOURCE",$C$6,$AC58,$N$9,$P58,$M$9,$M58),_xll.BDP($B58,Q$9,"fill=b","PRICING_SOURCE",$C$6,$AC58,$N$9,$P58,$M$9,$M58)))*1),"",IF(OR(AD58="SINKABLE",AD58="CALL/SINK"),_xll.BDP($B58,$Q$10,"fill=b","PRICING_SOURCE",$C$6,$AC58,$N$9,$P58,$M$9,$M58),_xll.BDP($B58,Q$9,"fill=b","PRICING_SOURCE",$C$6,$AC58,$N$9,$P58,$M$9,$M58)))</f>
        <v/>
      </c>
      <c r="R58" s="237"/>
      <c r="S58" s="238" t="str">
        <f t="shared" si="17"/>
        <v/>
      </c>
      <c r="T58" s="239" cm="1">
        <f t="array" ref="T58">IF(ISERROR((_xlfn.SINGLE(IF(OR(AD58="SINKABLE",AD58="CALL/SINK"),_xll.BDP($B58,$Q$10,"fill=b","PRICING_SOURCE",$C$6,$AC58,$M$9,$U58,"px ask",$AE58),_xll.BDP($B58,Q$9,"fill=b","PRICING_SOURCE",$C$6,$AC58,$M$9,$U58,"px ask",$AE58))))*1),"",IF(OR(AD58="SINKABLE",AD58="CALL/SINK"),_xll.BDP($B58,$Q$10,"fill=b","PRICING_SOURCE",$C$6,$AC58,$M$9,$U58,"px ask",$AE58),_xll.BDP($B58,Q$9,"fill=b","PRICING_SOURCE",$C$6,$AC58,$M$9,$U58,"px ask",$AE58)))</f>
        <v>83.333575249729265</v>
      </c>
      <c r="U58" s="240" t="str">
        <f t="shared" si="13"/>
        <v>20120915</v>
      </c>
      <c r="V58" s="254" t="e" cm="1">
        <f t="array" ref="V58">IF(B58="","",IF(I58="BZDIOVRA Index",IF(OR(AD58="SINKABLE",AD58="CALL/SINK"),_xll.BDP($B58,"PX_ASK",$Q$10,J58,$M$9,M58),_xll.BDP($B58,"PX_"&amp;$H$7,$Q$9,J58,$M$9,M58)),_xll.BDP($B58,"PX_"&amp;$H$7,$Q$9,_xll.BDP(B58,"CPN"),$M$9,M58)))</f>
        <v>#VALUE!</v>
      </c>
      <c r="W58" s="254" t="str">
        <f t="shared" si="14"/>
        <v/>
      </c>
      <c r="X58" s="166" t="e">
        <f>IF(B58="","",IF(OR(AD58="SINKABLE",AD58="CALL/SINK"),_xll.BDP($B58,X$9,"fill=b","PRICING_SOURCE",$C$6,$AC58,$M$9,$M58,$N$9,$P58,$Q$10,$S58),_xll.BDP($B58,X$9,"fill=b","PRICING_SOURCE",$C$6,$AC58,$M$9,$M58,$N$9,$P58,$Q$9,$S58)))</f>
        <v>#VALUE!</v>
      </c>
      <c r="Y58" s="166" t="e">
        <f>IF(B58="","",IF(OR(AD58="SINKABLE",AD58="CALL/SINK"),_xll.BDP($B58,Y$9,"fill=b","PRICING_SOURCE",$C$6,$AC58,$M$9,$M58,$N$9,$P58,$Q$10,$S58),_xll.BDP($B58,Y$9,"fill=b","PRICING_SOURCE",$C$6,$AC58,$M$9,$M58,$N$9,$P58,$Q$9,$S58)))</f>
        <v>#VALUE!</v>
      </c>
      <c r="Z58" s="255" t="e">
        <f>IF(B58="","",IF(OR(AD58="SINKABLE",AD58="CALL/SINK"),_xll.BDP($B58,Z$9,"fill=b","PRICING_SOURCE",$C$6,$AC58,$M$9,$M58,$N$9,$P58,$Q$10,$S58),_xll.BDP($B58,Z$9,"fill=b","PRICING_SOURCE",$C$6,$AC58,$M$9,$M58,$N$9,$P58,$Q$9,$S58)))</f>
        <v>#VALUE!</v>
      </c>
      <c r="AA58" s="166" t="e">
        <f>IF(B58="","",IF(OR(AD58="SINKABLE",AD58="CALL/SINK"),_xll.BDP($B58,AA$9,"fill=b","PRICING_SOURCE",$C$6,$AC58,$M$9,$M58,$N$9,$P58,$Q$10,$S58),_xll.BDP($B58,AA$9,"fill=b","PRICING_SOURCE",$C$6,$AC58,$M$9,$M58,$N$9,$P58,$Q$9,$S58)))</f>
        <v>#VALUE!</v>
      </c>
      <c r="AB58" s="150" t="str" cm="1">
        <f t="array" ref="AB58">IF(B58="","",IF(LEFT(_xlfn.SINGLE(_xll.BDP($B58,AB$9,"fill=b")),1)="#","-",_xll.BDP($B58,AB$9,"fill=b")))</f>
        <v>9/15/2019</v>
      </c>
      <c r="AC58" s="150" t="str">
        <f t="shared" si="18"/>
        <v>YLD FLAG=28</v>
      </c>
      <c r="AD58" s="150" t="str" cm="1">
        <f t="array" ref="AD58">IF(B58="","",_xll.BDP($B58,AD$9,"fill=b"))</f>
        <v>SINKABLE</v>
      </c>
      <c r="AE58" s="256" cm="1">
        <f t="array" ref="AE58">IF(B58="","",IF(ISERROR(_xlfn.SINGLE(_xll.BDH(B58,"PX LAST",AN58,AN58,"DAYS=ALL","PRICING SOURCE",$C$6))*1),_xll.BDP(B58,"PAR AMT"),_xll.BDH(B58,"PX LAST",AN58,AN58,"DAYS=ALL","PRICING SOURCE",$C$6)))</f>
        <v>333.40000000000003</v>
      </c>
      <c r="AF58" s="150" cm="1">
        <f t="array" ref="AF58">IF(B58="","",_xll.BDP($B58,AF$9,"fill=b"))</f>
        <v>6</v>
      </c>
      <c r="AG58" s="150"/>
      <c r="AH58" s="190">
        <f>IF(B58="","",IF($AD58="AT MATURITY",$AB58*1,_xll.BADDPERIODS(_xll.BDP($B58,"issue dt"),"numberofperiods",TRUNC(_xll.BDP($B58,"YRS_TO_LONGEST_AVG_LIFE","YLD_YTM_BID",AF58,"SETTLE_DT",U58,AC58),0),"per=y")+(ROUND(MOD(_xll.BDP(B58,"YRS_TO_LONGEST_AVG_LIFE","YLD_YTM_BID",AF58,"SETTLE_DT",U58,AC58),1)*360,0))))</f>
        <v>63102</v>
      </c>
      <c r="AI58" s="150" t="e" cm="1">
        <f t="array" ref="AI58">IF(B58="","",AF58-_xll.BInterpol(_xll.BDP(_xll.BDS("YCGT0372 Index","curve members","CURVE_DATE", $U58,"endcol=1","array=true"),"maturity")*1,_xll.BDH(_xll.BDS("YCGT0372 Index","curve members","CURVE_DATE", $U58,"endcol=1","array=true"),"yld cnv mid",$U58,$U58,"days=all"),AH58,"CUBIC","Extrapolate=LINEAR","SKIP=TRUE","SORT=TRUE","MultiX=Average"))</f>
        <v>#VALUE!</v>
      </c>
      <c r="AJ58" s="189" t="str">
        <f t="shared" si="15"/>
        <v/>
      </c>
      <c r="AK58" s="257" t="str" cm="1">
        <f t="array" ref="AK58">IF(B58="","",_xll.BDP($B58,AK$9,"fill=b"))</f>
        <v>232.6MM</v>
      </c>
      <c r="AL58" s="257" t="str" cm="1">
        <f t="array" ref="AL58">IF(B58="","",_xll.BDP($B58,AL$9,"fill=b"))</f>
        <v>0</v>
      </c>
      <c r="AM58" s="256" cm="1">
        <f t="array" ref="AM58">IF(B58="","",_xll.BDP($B58,AM$9,"fill=b"))</f>
        <v>333.40000000000003</v>
      </c>
      <c r="AN58" s="150" t="str" cm="1">
        <f t="array" ref="AN58">IF(B58="","",_xll.BDP($B58,AN$9,"fill=b"))</f>
        <v>9/15/2012</v>
      </c>
      <c r="AO58" s="150" t="str" cm="1">
        <f t="array" ref="AO58">IF(B58="","",IF(LEFT(_xlfn.SINGLE(_xll.BDP($B58,AO$9,"fill=b")),1)="#","-",_xll.BDP($B58,AO$9,"fill=b")))</f>
        <v>BANVOT</v>
      </c>
      <c r="AP58" s="150" t="str" cm="1">
        <f t="array" ref="AP58">IF(B58="","",_xll.BDP($B58,AP$9,"fill=b"))</f>
        <v>Communications</v>
      </c>
      <c r="AQ58" s="150" t="str" cm="1">
        <f t="array" ref="AQ58">IF(B58="","",_xll.BDP($B58,AQ$9,"fill=b"))</f>
        <v>Telecommunications</v>
      </c>
      <c r="AR58" s="150" t="str" cm="1">
        <f t="array" ref="AR58">IF(B58="","",_xll.BDP($B58,AR$9,"fill=b"))</f>
        <v>NR</v>
      </c>
      <c r="AS58" s="150" t="str" cm="1">
        <f t="array" ref="AS58">IF(B58="","",_xll.BDP($B58,AS$9,"fill=b"))</f>
        <v/>
      </c>
      <c r="AT58" s="150" t="str" cm="1">
        <f t="array" ref="AT58">IF(B58="","",_xll.BDP($B58,AT$9,"fill=b"))</f>
        <v/>
      </c>
      <c r="AU58" s="258" t="str" cm="1">
        <f t="array" ref="AU58">IF(B58="","",_xll.BDP($B58,AU$9,"fill=b"))</f>
        <v>CPN = BZCLVLUE INDEX + 600BP. NOVO MERCADO.</v>
      </c>
    </row>
    <row r="59" spans="2:47" ht="15" x14ac:dyDescent="0.25">
      <c r="B59" s="232" t="s">
        <v>251</v>
      </c>
      <c r="C59" s="150" t="str" cm="1">
        <f t="array" ref="C59">IF(B59="","",_xll.BDP($B59,C$9,"fill=b"))</f>
        <v>CART12</v>
      </c>
      <c r="D59" s="150" t="str" cm="1">
        <f t="array" ref="D59">IF(B59="","",_xll.BDP($B59,D$9,"fill=b"))</f>
        <v>COAURA 5.8 12/15/24</v>
      </c>
      <c r="E59" s="150" t="str" cm="1">
        <f t="array" ref="E59">IF(B59="","",_xll.BDP($B59,E$9,"fill=b"))</f>
        <v>AUTO RAPOSO TAVARES</v>
      </c>
      <c r="F59" s="150" t="str" cm="1">
        <f t="array" ref="F59">IF(B59="","",IF(LEFT(_xlfn.SINGLE(_xll.BDP($B59,F$9,"fill=b")),1)="#","-",_xll.BDP($B59,F$9,"fill=b")))</f>
        <v>IVPR3B BZ</v>
      </c>
      <c r="G59" s="150" t="str" cm="1">
        <f t="array" ref="G59">IF(B59="","",_xll.BDP($B59,G$9,"fill=b"))</f>
        <v>BRAZIL IPCA+SPREAD</v>
      </c>
      <c r="H59" s="150" t="str" cm="1">
        <f t="array" ref="H59">IF(B59="","",_xll.BDP($B59,H$9,"fill=b"))</f>
        <v/>
      </c>
      <c r="I59" s="150" t="str" cm="1">
        <f t="array" ref="I59">IF(LEFT(_xlfn.SINGLE(_xll.BDP(B59,"REFERENCE_INDEX")),1)="#",IF(LEFT(_xlfn.SINGLE(_xll.BDP(B59, "RESET_IDX"))&amp;" Index",1)="#","",_xlfn.SINGLE(_xll.BDP(B59, "RESET_IDX"))&amp;" Index"),_xll.BDP(B59,"REFERENCE_INDEX"))</f>
        <v>BZCLVLUE Index</v>
      </c>
      <c r="J59" s="150" t="str">
        <f>IF(I59="BZDIOVRA Index",IF(_xll.BDP(B59,"FLT_SPREAD")/100=0,_xll.BDP(B59,"FLT_BENCH_MULTIPLIER"),_xll.BDP(B59,"FLT_SPREAD")/100),"")</f>
        <v/>
      </c>
      <c r="K59" s="150" t="str" cm="1">
        <f t="array" ref="K59">IF(B59="","",IF(LEFT(_xlfn.SINGLE(_xll.BDP($B59,K$9,"fill=b")),1)="#","-",_xll.BDP($B59,K$9,"fill=b")))</f>
        <v>-</v>
      </c>
      <c r="L59" s="233"/>
      <c r="M59" s="234" t="e">
        <f t="shared" si="3"/>
        <v>#VALUE!</v>
      </c>
      <c r="N59" s="252" t="e">
        <f>IF(B59="","",IF(R59="",IF(OR(AD59="SINKABLE",AD59="CALL/SINK"),_xll.BDP(B59,$N$9,$M$9,M59,"PRICING SOURCE",$C$6,"FILL=B"),_xll.BDP(B59,$N$9,$M$9,M59,"PRICING SOURCE",$C$6,"FILL=B")),IF(OR(AD59="SINKABLE",AD59="CALL/SINK"),_xll.BDP(B59,$N$9,$Q$10,S59,$M$9,M59,"PRICING SOURCE",$C$6,"FILL=B"),_xll.BDP(B59,$N$9,$Q$9,S59,$M$9,M59,"PRICING SOURCE",$C$6,"FILL=B"))))</f>
        <v>#VALUE!</v>
      </c>
      <c r="O59" s="235"/>
      <c r="P59" s="236" t="e">
        <f t="shared" si="16"/>
        <v>#VALUE!</v>
      </c>
      <c r="Q59" s="166" t="str">
        <f>IF(ISERROR((IF(OR(AD59="SINKABLE",AD59="CALL/SINK"),_xll.BDP($B59,$Q$10,"fill=b","PRICING_SOURCE",$C$6,$AC59,$N$9,$P59,$M$9,$M59),_xll.BDP($B59,Q$9,"fill=b","PRICING_SOURCE",$C$6,$AC59,$N$9,$P59,$M$9,$M59)))*1),"",IF(OR(AD59="SINKABLE",AD59="CALL/SINK"),_xll.BDP($B59,$Q$10,"fill=b","PRICING_SOURCE",$C$6,$AC59,$N$9,$P59,$M$9,$M59),_xll.BDP($B59,Q$9,"fill=b","PRICING_SOURCE",$C$6,$AC59,$N$9,$P59,$M$9,$M59)))</f>
        <v/>
      </c>
      <c r="R59" s="237"/>
      <c r="S59" s="238" t="str">
        <f t="shared" si="17"/>
        <v/>
      </c>
      <c r="T59" s="239" cm="1">
        <f t="array" ref="T59">IF(ISERROR((_xlfn.SINGLE(IF(OR(AD59="SINKABLE",AD59="CALL/SINK"),_xll.BDP($B59,$Q$10,"fill=b","PRICING_SOURCE",$C$6,$AC59,$M$9,$U59,"px ask",$AE59),_xll.BDP($B59,Q$9,"fill=b","PRICING_SOURCE",$C$6,$AC59,$M$9,$U59,"px ask",$AE59))))*1),"",IF(OR(AD59="SINKABLE",AD59="CALL/SINK"),_xll.BDP($B59,$Q$10,"fill=b","PRICING_SOURCE",$C$6,$AC59,$M$9,$U59,"px ask",$AE59),_xll.BDP($B59,Q$9,"fill=b","PRICING_SOURCE",$C$6,$AC59,$M$9,$U59,"px ask",$AE59)))</f>
        <v>65.264622854161843</v>
      </c>
      <c r="U59" s="240" t="str">
        <f t="shared" si="13"/>
        <v>20121215</v>
      </c>
      <c r="V59" s="254" t="e" cm="1">
        <f t="array" ref="V59">IF(B59="","",IF(I59="BZDIOVRA Index",IF(OR(AD59="SINKABLE",AD59="CALL/SINK"),_xll.BDP($B59,"PX_ASK",$Q$10,J59,$M$9,M59),_xll.BDP($B59,"PX_"&amp;$H$7,$Q$9,J59,$M$9,M59)),_xll.BDP($B59,"PX_"&amp;$H$7,$Q$9,_xll.BDP(B59,"CPN"),$M$9,M59)))</f>
        <v>#VALUE!</v>
      </c>
      <c r="W59" s="254" t="str">
        <f t="shared" si="14"/>
        <v/>
      </c>
      <c r="X59" s="166" t="e">
        <f>IF(B59="","",IF(OR(AD59="SINKABLE",AD59="CALL/SINK"),_xll.BDP($B59,X$9,"fill=b","PRICING_SOURCE",$C$6,$AC59,$M$9,$M59,$N$9,$P59,$Q$10,$S59),_xll.BDP($B59,X$9,"fill=b","PRICING_SOURCE",$C$6,$AC59,$M$9,$M59,$N$9,$P59,$Q$9,$S59)))</f>
        <v>#VALUE!</v>
      </c>
      <c r="Y59" s="166" t="e">
        <f>IF(B59="","",IF(OR(AD59="SINKABLE",AD59="CALL/SINK"),_xll.BDP($B59,Y$9,"fill=b","PRICING_SOURCE",$C$6,$AC59,$M$9,$M59,$N$9,$P59,$Q$10,$S59),_xll.BDP($B59,Y$9,"fill=b","PRICING_SOURCE",$C$6,$AC59,$M$9,$M59,$N$9,$P59,$Q$9,$S59)))</f>
        <v>#VALUE!</v>
      </c>
      <c r="Z59" s="255" t="e">
        <f>IF(B59="","",IF(OR(AD59="SINKABLE",AD59="CALL/SINK"),_xll.BDP($B59,Z$9,"fill=b","PRICING_SOURCE",$C$6,$AC59,$M$9,$M59,$N$9,$P59,$Q$10,$S59),_xll.BDP($B59,Z$9,"fill=b","PRICING_SOURCE",$C$6,$AC59,$M$9,$M59,$N$9,$P59,$Q$9,$S59)))</f>
        <v>#VALUE!</v>
      </c>
      <c r="AA59" s="166" t="e">
        <f>IF(B59="","",IF(OR(AD59="SINKABLE",AD59="CALL/SINK"),_xll.BDP($B59,AA$9,"fill=b","PRICING_SOURCE",$C$6,$AC59,$M$9,$M59,$N$9,$P59,$Q$10,$S59),_xll.BDP($B59,AA$9,"fill=b","PRICING_SOURCE",$C$6,$AC59,$M$9,$M59,$N$9,$P59,$Q$9,$S59)))</f>
        <v>#VALUE!</v>
      </c>
      <c r="AB59" s="150" t="str" cm="1">
        <f t="array" ref="AB59">IF(B59="","",IF(LEFT(_xlfn.SINGLE(_xll.BDP($B59,AB$9,"fill=b")),1)="#","-",_xll.BDP($B59,AB$9,"fill=b")))</f>
        <v>12/15/2024</v>
      </c>
      <c r="AC59" s="150" t="str">
        <f t="shared" si="18"/>
        <v>YLD FLAG=28</v>
      </c>
      <c r="AD59" s="150" t="str" cm="1">
        <f t="array" ref="AD59">IF(B59="","",_xll.BDP($B59,AD$9,"fill=b"))</f>
        <v>SINKABLE</v>
      </c>
      <c r="AE59" s="256" cm="1">
        <f t="array" ref="AE59">IF(B59="","",IF(ISERROR(_xlfn.SINGLE(_xll.BDH(B59,"PX LAST",AN59,AN59,"DAYS=ALL","PRICING SOURCE",$C$6))*1),_xll.BDP(B59,"PAR AMT"),_xll.BDH(B59,"PX LAST",AN59,AN59,"DAYS=ALL","PRICING SOURCE",$C$6)))</f>
        <v>300</v>
      </c>
      <c r="AF59" s="150" cm="1">
        <f t="array" ref="AF59">IF(B59="","",_xll.BDP($B59,AF$9,"fill=b"))</f>
        <v>5.8</v>
      </c>
      <c r="AG59" s="150"/>
      <c r="AH59" s="190" t="e">
        <f>IF(B59="","",IF($AD59="AT MATURITY",$AB59*1,_xll.BADDPERIODS(_xll.BDP($B59,"issue dt"),"numberofperiods",TRUNC(_xll.BDP($B59,"YRS_TO_LONGEST_AVG_LIFE","YLD_YTM_BID",AF59,"SETTLE_DT",U59,AC59),0),"per=y")+(ROUND(MOD(_xll.BDP(B59,"YRS_TO_LONGEST_AVG_LIFE","YLD_YTM_BID",AF59,"SETTLE_DT",U59,AC59),1)*360,0))))</f>
        <v>#VALUE!</v>
      </c>
      <c r="AI59" s="150" t="e">
        <f t="array" ref="AI59">IF(B59="","",AF59-_xll.BInterpol(_xll.BDP(_xll.BDS("YCGT0372 Index","curve members","CURVE_DATE", $U59,"endcol=1","array=true"),"maturity")*1,_xll.BDH(_xll.BDS("YCGT0372 Index","curve members","CURVE_DATE", $U59,"endcol=1","array=true"),"yld cnv mid",$U59,$U59,"days=all"),AH59,"CUBIC","Extrapolate=LINEAR","SKIP=TRUE","SORT=TRUE","MultiX=Average"))</f>
        <v>#VALUE!</v>
      </c>
      <c r="AJ59" s="189" t="str">
        <f t="shared" si="15"/>
        <v/>
      </c>
      <c r="AK59" s="257" t="str" cm="1">
        <f t="array" ref="AK59">IF(B59="","",_xll.BDP($B59,AK$9,"fill=b"))</f>
        <v>380MM</v>
      </c>
      <c r="AL59" s="257" t="str" cm="1">
        <f t="array" ref="AL59">IF(B59="","",_xll.BDP($B59,AL$9,"fill=b"))</f>
        <v>0</v>
      </c>
      <c r="AM59" s="256" cm="1">
        <f t="array" ref="AM59">IF(B59="","",_xll.BDP($B59,AM$9,"fill=b"))</f>
        <v>300</v>
      </c>
      <c r="AN59" s="150" t="str" cm="1">
        <f t="array" ref="AN59">IF(B59="","",_xll.BDP($B59,AN$9,"fill=b"))</f>
        <v>12/15/2012</v>
      </c>
      <c r="AO59" s="150" t="str" cm="1">
        <f t="array" ref="AO59">IF(B59="","",IF(LEFT(_xlfn.SINGLE(_xll.BDP($B59,AO$9,"fill=b")),1)="#","-",_xll.BDP($B59,AO$9,"fill=b")))</f>
        <v>JOINT LEADS</v>
      </c>
      <c r="AP59" s="150" t="str" cm="1">
        <f t="array" ref="AP59">IF(B59="","",_xll.BDP($B59,AP$9,"fill=b"))</f>
        <v>Consumer, Non-cyclical</v>
      </c>
      <c r="AQ59" s="150" t="str" cm="1">
        <f t="array" ref="AQ59">IF(B59="","",_xll.BDP($B59,AQ$9,"fill=b"))</f>
        <v>Commercial Services</v>
      </c>
      <c r="AR59" s="150" t="str" cm="1">
        <f t="array" ref="AR59">IF(B59="","",_xll.BDP($B59,AR$9,"fill=b"))</f>
        <v>NR</v>
      </c>
      <c r="AS59" s="150" t="str" cm="1">
        <f t="array" ref="AS59">IF(B59="","",_xll.BDP($B59,AS$9,"fill=b"))</f>
        <v/>
      </c>
      <c r="AT59" s="150" t="str" cm="1">
        <f t="array" ref="AT59">IF(B59="","",_xll.BDP($B59,AT$9,"fill=b"))</f>
        <v/>
      </c>
      <c r="AU59" s="258" t="str" cm="1">
        <f t="array" ref="AU59">IF(B59="","",_xll.BDP($B59,AU$9,"fill=b"))</f>
        <v>CPN = BZCLVLUE INDEX + 580BPS. ISSUED UNDER LAW 12.431.</v>
      </c>
    </row>
    <row r="60" spans="2:47" ht="15" x14ac:dyDescent="0.25">
      <c r="B60" s="232" t="s">
        <v>308</v>
      </c>
      <c r="C60" s="150" t="str" cm="1">
        <f t="array" ref="C60">IF(B60="","",_xll.BDP($B60,C$9,"fill=b"))</f>
        <v>SBESA7</v>
      </c>
      <c r="D60" s="150" t="str" cm="1">
        <f t="array" ref="D60">IF(B60="","",_xll.BDP($B60,D$9,"fill=b"))</f>
        <v>SBSPBZ Float 01/15/18</v>
      </c>
      <c r="E60" s="150" t="str" cm="1">
        <f t="array" ref="E60">IF(B60="","",_xll.BDP($B60,E$9,"fill=b"))</f>
        <v>CIA SANEAMENTO BASICO</v>
      </c>
      <c r="F60" s="150" t="str" cm="1">
        <f t="array" ref="F60">IF(B60="","",IF(LEFT(_xlfn.SINGLE(_xll.BDP($B60,F$9,"fill=b")),1)="#","-",_xll.BDP($B60,F$9,"fill=b")))</f>
        <v>1169Z BZ</v>
      </c>
      <c r="G60" s="150" t="str" cm="1">
        <f t="array" ref="G60">IF(B60="","",_xll.BDP($B60,G$9,"fill=b"))</f>
        <v>BRAZIL DI+SPREAD</v>
      </c>
      <c r="H60" s="150" t="str" cm="1">
        <f t="array" ref="H60">IF(B60="","",_xll.BDP($B60,H$9,"fill=b"))</f>
        <v>OVRA BZDI +75.000</v>
      </c>
      <c r="I60" s="150" t="str" cm="1">
        <f t="array" ref="I60">IF(LEFT(_xlfn.SINGLE(_xll.BDP(B60,"REFERENCE_INDEX")),1)="#",IF(LEFT(_xlfn.SINGLE(_xll.BDP(B60, "RESET_IDX"))&amp;" Index",1)="#","",_xlfn.SINGLE(_xll.BDP(B60, "RESET_IDX"))&amp;" Index"),_xll.BDP(B60,"REFERENCE_INDEX"))</f>
        <v>BZDIOVRA Index</v>
      </c>
      <c r="J60" s="150" cm="1">
        <f t="array" ref="J60">IF(I60="BZDIOVRA Index",IF(_xlfn.SINGLE(_xll.BDP(B60,"FLT_SPREAD"))/100=0,_xll.BDP(B60,"FLT_BENCH_MULTIPLIER"),_xlfn.SINGLE(_xll.BDP(B60,"FLT_SPREAD"))/100),"")</f>
        <v>0.75</v>
      </c>
      <c r="K60" s="150" t="str" cm="1">
        <f t="array" ref="K60">IF(B60="","",IF(LEFT(_xlfn.SINGLE(_xll.BDP($B60,K$9,"fill=b")),1)="#","-",_xll.BDP($B60,K$9,"fill=b")))</f>
        <v>-</v>
      </c>
      <c r="L60" s="233"/>
      <c r="M60" s="234" t="e">
        <f t="shared" si="3"/>
        <v>#VALUE!</v>
      </c>
      <c r="N60" s="252" t="e">
        <f>IF(B60="","",IF(R60="",IF(OR(AD60="SINKABLE",AD60="CALL/SINK"),_xll.BDP(B60,$N$9,$M$9,M60,"PRICING SOURCE",$C$6,"FILL=B"),_xll.BDP(B60,$N$9,$M$9,M60,"PRICING SOURCE",$C$6,"FILL=B")),IF(OR(AD60="SINKABLE",AD60="CALL/SINK"),_xll.BDP(B60,$N$9,$Q$10,S60,$M$9,M60,"PRICING SOURCE",$C$6,"FILL=B"),_xll.BDP(B60,$N$9,$Q$9,S60,$M$9,M60,"PRICING SOURCE",$C$6,"FILL=B"))))</f>
        <v>#VALUE!</v>
      </c>
      <c r="O60" s="235"/>
      <c r="P60" s="236" t="e">
        <f t="shared" si="16"/>
        <v>#VALUE!</v>
      </c>
      <c r="Q60" s="166" t="str">
        <f>IF(ISERROR((IF(OR(AD60="SINKABLE",AD60="CALL/SINK"),_xll.BDP($B60,$Q$10,"fill=b","PRICING_SOURCE",$C$6,$AC60,$N$9,$P60,$M$9,$M60),_xll.BDP($B60,Q$9,"fill=b","PRICING_SOURCE",$C$6,$AC60,$N$9,$P60,$M$9,$M60)))*1),"",IF(OR(AD60="SINKABLE",AD60="CALL/SINK"),_xll.BDP($B60,$Q$10,"fill=b","PRICING_SOURCE",$C$6,$AC60,$N$9,$P60,$M$9,$M60),_xll.BDP($B60,Q$9,"fill=b","PRICING_SOURCE",$C$6,$AC60,$N$9,$P60,$M$9,$M60)))</f>
        <v/>
      </c>
      <c r="R60" s="237"/>
      <c r="S60" s="238" t="str">
        <f t="shared" si="17"/>
        <v/>
      </c>
      <c r="T60" s="239" cm="1">
        <f t="array" ref="T60">IF(ISERROR((_xlfn.SINGLE(IF(OR(AD60="SINKABLE",AD60="CALL/SINK"),_xll.BDP($B60,$Q$10,"fill=b","PRICING_SOURCE",$C$6,$AC60,$M$9,$U60,"px ask",$AE60),_xll.BDP($B60,Q$9,"fill=b","PRICING_SOURCE",$C$6,$AC60,$M$9,$U60,"px ask",$AE60))))*1),"",IF(OR(AD60="SINKABLE",AD60="CALL/SINK"),_xll.BDP($B60,$Q$10,"fill=b","PRICING_SOURCE",$C$6,$AC60,$M$9,$U60,"px ask",$AE60),_xll.BDP($B60,Q$9,"fill=b","PRICING_SOURCE",$C$6,$AC60,$M$9,$U60,"px ask",$AE60)))</f>
        <v>1.0117269251762151</v>
      </c>
      <c r="U60" s="240" t="str">
        <f t="shared" si="13"/>
        <v>20130225</v>
      </c>
      <c r="V60" s="254" t="e" cm="1">
        <f t="array" ref="V60">IF(B60="","",IF(I60="BZDIOVRA Index",IF(OR(AD60="SINKABLE",AD60="CALL/SINK"),_xll.BDP($B60,"PX_ASK",$Q$10,J60,$M$9,M60),_xll.BDP($B60,"PX_"&amp;$H$7,$Q$9,J60,$M$9,M60)),_xll.BDP($B60,"PX_"&amp;$H$7,$Q$9,_xll.BDP(B60,"CPN"),$M$9,M60)))</f>
        <v>#VALUE!</v>
      </c>
      <c r="W60" s="254" t="str">
        <f t="shared" si="14"/>
        <v/>
      </c>
      <c r="X60" s="166" t="e">
        <f>IF(B60="","",IF(OR(AD60="SINKABLE",AD60="CALL/SINK"),_xll.BDP($B60,X$9,"fill=b","PRICING_SOURCE",$C$6,$AC60,$M$9,$M60,$N$9,$P60,$Q$10,$S60),_xll.BDP($B60,X$9,"fill=b","PRICING_SOURCE",$C$6,$AC60,$M$9,$M60,$N$9,$P60,$Q$9,$S60)))</f>
        <v>#VALUE!</v>
      </c>
      <c r="Y60" s="166" t="e">
        <f>IF(B60="","",IF(OR(AD60="SINKABLE",AD60="CALL/SINK"),_xll.BDP($B60,Y$9,"fill=b","PRICING_SOURCE",$C$6,$AC60,$M$9,$M60,$N$9,$P60,$Q$10,$S60),_xll.BDP($B60,Y$9,"fill=b","PRICING_SOURCE",$C$6,$AC60,$M$9,$M60,$N$9,$P60,$Q$9,$S60)))</f>
        <v>#VALUE!</v>
      </c>
      <c r="Z60" s="255" t="e">
        <f>IF(B60="","",IF(OR(AD60="SINKABLE",AD60="CALL/SINK"),_xll.BDP($B60,Z$9,"fill=b","PRICING_SOURCE",$C$6,$AC60,$M$9,$M60,$N$9,$P60,$Q$10,$S60),_xll.BDP($B60,Z$9,"fill=b","PRICING_SOURCE",$C$6,$AC60,$M$9,$M60,$N$9,$P60,$Q$9,$S60)))</f>
        <v>#VALUE!</v>
      </c>
      <c r="AA60" s="166" t="e">
        <f>IF(B60="","",IF(OR(AD60="SINKABLE",AD60="CALL/SINK"),_xll.BDP($B60,AA$9,"fill=b","PRICING_SOURCE",$C$6,$AC60,$M$9,$M60,$N$9,$P60,$Q$10,$S60),_xll.BDP($B60,AA$9,"fill=b","PRICING_SOURCE",$C$6,$AC60,$M$9,$M60,$N$9,$P60,$Q$9,$S60)))</f>
        <v>#VALUE!</v>
      </c>
      <c r="AB60" s="150" t="str" cm="1">
        <f t="array" ref="AB60">IF(B60="","",IF(LEFT(_xlfn.SINGLE(_xll.BDP($B60,AB$9,"fill=b")),1)="#","-",_xll.BDP($B60,AB$9,"fill=b")))</f>
        <v>1/15/2018</v>
      </c>
      <c r="AC60" s="150" t="str">
        <f t="shared" si="18"/>
        <v>YLD FLAG=28</v>
      </c>
      <c r="AD60" s="150" t="str" cm="1">
        <f t="array" ref="AD60">IF(B60="","",_xll.BDP($B60,AD$9,"fill=b"))</f>
        <v>SINKABLE</v>
      </c>
      <c r="AE60" s="256" cm="1">
        <f t="array" ref="AE60">IF(B60="","",IF(ISERROR(_xlfn.SINGLE(_xll.BDH(B60,"PX LAST",AN60,AN60,"DAYS=ALL","PRICING SOURCE",$C$6))*1),_xll.BDP(B60,"PAR AMT"),_xll.BDH(B60,"PX LAST",AN60,AN60,"DAYS=ALL","PRICING SOURCE",$C$6)))</f>
        <v>3400</v>
      </c>
      <c r="AF60" s="150" cm="1">
        <f t="array" ref="AF60">IF(B60="","",_xll.BDP($B60,AF$9,"fill=b"))</f>
        <v>0</v>
      </c>
      <c r="AG60" s="150"/>
      <c r="AH60" s="190">
        <f>IF(B60="","",IF($AD60="AT MATURITY",$AB60*1,_xll.BADDPERIODS(_xll.BDP($B60,"issue dt"),"numberofperiods",TRUNC(_xll.BDP($B60,"YRS_TO_LONGEST_AVG_LIFE","YLD_YTM_BID",AF60,"SETTLE_DT",U60,AC60),0),"per=y")+(ROUND(MOD(_xll.BDP(B60,"YRS_TO_LONGEST_AVG_LIFE","YLD_YTM_BID",AF60,"SETTLE_DT",U60,AC60),1)*360,0))))</f>
        <v>42749</v>
      </c>
      <c r="AI60" s="150" t="e">
        <f t="array" ref="AI60">IF(B60="","",AF60-_xll.BInterpol(_xll.BDP(_xll.BDS("YCGT0372 Index","curve members","CURVE_DATE", $U60,"endcol=1","array=true"),"maturity")*1,_xll.BDH(_xll.BDS("YCGT0372 Index","curve members","CURVE_DATE", $U60,"endcol=1","array=true"),"yld cnv mid",$U60,$U60,"days=all"),AH60,"CUBIC","Extrapolate=LINEAR","SKIP=TRUE","SORT=TRUE","MultiX=Average"))</f>
        <v>#VALUE!</v>
      </c>
      <c r="AJ60" s="189">
        <f t="shared" si="15"/>
        <v>0.75</v>
      </c>
      <c r="AK60" s="257" t="str" cm="1">
        <f t="array" ref="AK60">IF(B60="","",_xll.BDP($B60,AK$9,"fill=b"))</f>
        <v>424.68MM</v>
      </c>
      <c r="AL60" s="257" t="str" cm="1">
        <f t="array" ref="AL60">IF(B60="","",_xll.BDP($B60,AL$9,"fill=b"))</f>
        <v>0</v>
      </c>
      <c r="AM60" s="256" cm="1">
        <f t="array" ref="AM60">IF(B60="","",_xll.BDP($B60,AM$9,"fill=b"))</f>
        <v>3400</v>
      </c>
      <c r="AN60" s="150" t="str" cm="1">
        <f t="array" ref="AN60">IF(B60="","",_xll.BDP($B60,AN$9,"fill=b"))</f>
        <v>2/25/2013</v>
      </c>
      <c r="AO60" s="150" t="str" cm="1">
        <f t="array" ref="AO60">IF(B60="","",IF(LEFT(_xlfn.SINGLE(_xll.BDP($B60,AO$9,"fill=b")),1)="#","-",_xll.BDP($B60,AO$9,"fill=b")))</f>
        <v>BANBDE,BBINVE</v>
      </c>
      <c r="AP60" s="150" t="str" cm="1">
        <f t="array" ref="AP60">IF(B60="","",_xll.BDP($B60,AP$9,"fill=b"))</f>
        <v>Utilities</v>
      </c>
      <c r="AQ60" s="150" t="str" cm="1">
        <f t="array" ref="AQ60">IF(B60="","",_xll.BDP($B60,AQ$9,"fill=b"))</f>
        <v>Water</v>
      </c>
      <c r="AR60" s="150" t="str" cm="1">
        <f t="array" ref="AR60">IF(B60="","",_xll.BDP($B60,AR$9,"fill=b"))</f>
        <v>NR</v>
      </c>
      <c r="AS60" s="150" t="str" cm="1">
        <f t="array" ref="AS60">IF(B60="","",_xll.BDP($B60,AS$9,"fill=b"))</f>
        <v>WR</v>
      </c>
      <c r="AT60" s="150" t="str" cm="1">
        <f t="array" ref="AT60">IF(B60="","",_xll.BDP($B60,AT$9,"fill=b"))</f>
        <v/>
      </c>
      <c r="AU60" s="258" t="str" cm="1">
        <f t="array" ref="AU60">IF(B60="","",_xll.BDP($B60,AU$9,"fill=b"))</f>
        <v>CPN = BZDIOVRA INDEX + 75 BPS.</v>
      </c>
    </row>
    <row r="61" spans="2:47" ht="15" x14ac:dyDescent="0.25">
      <c r="B61" s="232" t="s">
        <v>268</v>
      </c>
      <c r="C61" s="150" t="str" cm="1">
        <f t="array" ref="C61">IF(B61="","",_xll.BDP($B61,C$9,"fill=b"))</f>
        <v>SBESB7</v>
      </c>
      <c r="D61" s="150" t="str" cm="1">
        <f t="array" ref="D61">IF(B61="","",_xll.BDP($B61,D$9,"fill=b"))</f>
        <v>SBSPBZ 4 1/2 01/15/20</v>
      </c>
      <c r="E61" s="150" t="str" cm="1">
        <f t="array" ref="E61">IF(B61="","",_xll.BDP($B61,E$9,"fill=b"))</f>
        <v>CIA SANEAMENTO BASICO</v>
      </c>
      <c r="F61" s="150" t="str" cm="1">
        <f t="array" ref="F61">IF(B61="","",IF(LEFT(_xlfn.SINGLE(_xll.BDP($B61,F$9,"fill=b")),1)="#","-",_xll.BDP($B61,F$9,"fill=b")))</f>
        <v>1169Z BZ</v>
      </c>
      <c r="G61" s="150" t="str" cm="1">
        <f t="array" ref="G61">IF(B61="","",_xll.BDP($B61,G$9,"fill=b"))</f>
        <v>BRAZIL IPCA+SPREAD</v>
      </c>
      <c r="H61" s="150" t="str" cm="1">
        <f t="array" ref="H61">IF(B61="","",_xll.BDP($B61,H$9,"fill=b"))</f>
        <v/>
      </c>
      <c r="I61" s="150" t="str" cm="1">
        <f t="array" ref="I61">IF(LEFT(_xlfn.SINGLE(_xll.BDP(B61,"REFERENCE_INDEX")),1)="#",IF(LEFT(_xlfn.SINGLE(_xll.BDP(B61, "RESET_IDX"))&amp;" Index",1)="#","",_xlfn.SINGLE(_xll.BDP(B61, "RESET_IDX"))&amp;" Index"),_xll.BDP(B61,"REFERENCE_INDEX"))</f>
        <v>BZCLVLUE Index</v>
      </c>
      <c r="J61" s="150" t="str">
        <f>IF(I61="BZDIOVRA Index",IF(_xll.BDP(B61,"FLT_SPREAD")/100=0,_xll.BDP(B61,"FLT_BENCH_MULTIPLIER"),_xll.BDP(B61,"FLT_SPREAD")/100),"")</f>
        <v/>
      </c>
      <c r="K61" s="150" t="str" cm="1">
        <f t="array" ref="K61">IF(B61="","",IF(LEFT(_xlfn.SINGLE(_xll.BDP($B61,K$9,"fill=b")),1)="#","-",_xll.BDP($B61,K$9,"fill=b")))</f>
        <v>-</v>
      </c>
      <c r="L61" s="233"/>
      <c r="M61" s="234" t="e">
        <f t="shared" si="3"/>
        <v>#VALUE!</v>
      </c>
      <c r="N61" s="252" t="e">
        <f>IF(B61="","",IF(R61="",IF(OR(AD61="SINKABLE",AD61="CALL/SINK"),_xll.BDP(B61,$N$9,$M$9,M61,"PRICING SOURCE",$C$6,"FILL=B"),_xll.BDP(B61,$N$9,$M$9,M61,"PRICING SOURCE",$C$6,"FILL=B")),IF(OR(AD61="SINKABLE",AD61="CALL/SINK"),_xll.BDP(B61,$N$9,$Q$10,S61,$M$9,M61,"PRICING SOURCE",$C$6,"FILL=B"),_xll.BDP(B61,$N$9,$Q$9,S61,$M$9,M61,"PRICING SOURCE",$C$6,"FILL=B"))))</f>
        <v>#VALUE!</v>
      </c>
      <c r="O61" s="235"/>
      <c r="P61" s="236" t="e">
        <f t="shared" si="16"/>
        <v>#VALUE!</v>
      </c>
      <c r="Q61" s="166" t="str">
        <f>IF(ISERROR((IF(OR(AD61="SINKABLE",AD61="CALL/SINK"),_xll.BDP($B61,$Q$10,"fill=b","PRICING_SOURCE",$C$6,$AC61,$N$9,$P61,$M$9,$M61),_xll.BDP($B61,Q$9,"fill=b","PRICING_SOURCE",$C$6,$AC61,$N$9,$P61,$M$9,$M61)))*1),"",IF(OR(AD61="SINKABLE",AD61="CALL/SINK"),_xll.BDP($B61,$Q$10,"fill=b","PRICING_SOURCE",$C$6,$AC61,$N$9,$P61,$M$9,$M61),_xll.BDP($B61,Q$9,"fill=b","PRICING_SOURCE",$C$6,$AC61,$N$9,$P61,$M$9,$M61)))</f>
        <v/>
      </c>
      <c r="R61" s="237"/>
      <c r="S61" s="238" t="str">
        <f t="shared" si="17"/>
        <v/>
      </c>
      <c r="T61" s="239" cm="1">
        <f t="array" ref="T61">IF(ISERROR((_xlfn.SINGLE(IF(OR(AD61="SINKABLE",AD61="CALL/SINK"),_xll.BDP($B61,$Q$10,"fill=b","PRICING_SOURCE",$C$6,$AC61,$M$9,$U61,"px ask",$AE61),_xll.BDP($B61,Q$9,"fill=b","PRICING_SOURCE",$C$6,$AC61,$M$9,$U61,"px ask",$AE61))))*1),"",IF(OR(AD61="SINKABLE",AD61="CALL/SINK"),_xll.BDP($B61,$Q$10,"fill=b","PRICING_SOURCE",$C$6,$AC61,$M$9,$U61,"px ask",$AE61),_xll.BDP($B61,Q$9,"fill=b","PRICING_SOURCE",$C$6,$AC61,$M$9,$U61,"px ask",$AE61)))</f>
        <v>71.181178955203677</v>
      </c>
      <c r="U61" s="240" t="str">
        <f t="shared" si="13"/>
        <v>20130226</v>
      </c>
      <c r="V61" s="254" t="e" cm="1">
        <f t="array" ref="V61">IF(B61="","",IF(I61="BZDIOVRA Index",IF(OR(AD61="SINKABLE",AD61="CALL/SINK"),_xll.BDP($B61,"PX_ASK",$Q$10,J61,$M$9,M61),_xll.BDP($B61,"PX_"&amp;$H$7,$Q$9,J61,$M$9,M61)),_xll.BDP($B61,"PX_"&amp;$H$7,$Q$9,_xll.BDP(B61,"CPN"),$M$9,M61)))</f>
        <v>#VALUE!</v>
      </c>
      <c r="W61" s="254" t="str">
        <f t="shared" si="14"/>
        <v/>
      </c>
      <c r="X61" s="166" t="e">
        <f>IF(B61="","",IF(OR(AD61="SINKABLE",AD61="CALL/SINK"),_xll.BDP($B61,X$9,"fill=b","PRICING_SOURCE",$C$6,$AC61,$M$9,$M61,$N$9,$P61,$Q$10,$S61),_xll.BDP($B61,X$9,"fill=b","PRICING_SOURCE",$C$6,$AC61,$M$9,$M61,$N$9,$P61,$Q$9,$S61)))</f>
        <v>#VALUE!</v>
      </c>
      <c r="Y61" s="166" t="e">
        <f>IF(B61="","",IF(OR(AD61="SINKABLE",AD61="CALL/SINK"),_xll.BDP($B61,Y$9,"fill=b","PRICING_SOURCE",$C$6,$AC61,$M$9,$M61,$N$9,$P61,$Q$10,$S61),_xll.BDP($B61,Y$9,"fill=b","PRICING_SOURCE",$C$6,$AC61,$M$9,$M61,$N$9,$P61,$Q$9,$S61)))</f>
        <v>#VALUE!</v>
      </c>
      <c r="Z61" s="255" t="e">
        <f>IF(B61="","",IF(OR(AD61="SINKABLE",AD61="CALL/SINK"),_xll.BDP($B61,Z$9,"fill=b","PRICING_SOURCE",$C$6,$AC61,$M$9,$M61,$N$9,$P61,$Q$10,$S61),_xll.BDP($B61,Z$9,"fill=b","PRICING_SOURCE",$C$6,$AC61,$M$9,$M61,$N$9,$P61,$Q$9,$S61)))</f>
        <v>#VALUE!</v>
      </c>
      <c r="AA61" s="166" t="e">
        <f>IF(B61="","",IF(OR(AD61="SINKABLE",AD61="CALL/SINK"),_xll.BDP($B61,AA$9,"fill=b","PRICING_SOURCE",$C$6,$AC61,$M$9,$M61,$N$9,$P61,$Q$10,$S61),_xll.BDP($B61,AA$9,"fill=b","PRICING_SOURCE",$C$6,$AC61,$M$9,$M61,$N$9,$P61,$Q$9,$S61)))</f>
        <v>#VALUE!</v>
      </c>
      <c r="AB61" s="150" t="str" cm="1">
        <f t="array" ref="AB61">IF(B61="","",IF(LEFT(_xlfn.SINGLE(_xll.BDP($B61,AB$9,"fill=b")),1)="#","-",_xll.BDP($B61,AB$9,"fill=b")))</f>
        <v>1/15/2020</v>
      </c>
      <c r="AC61" s="150" t="str">
        <f t="shared" si="18"/>
        <v>YLD FLAG=28</v>
      </c>
      <c r="AD61" s="150" t="str" cm="1">
        <f t="array" ref="AD61">IF(B61="","",_xll.BDP($B61,AD$9,"fill=b"))</f>
        <v>SINKABLE</v>
      </c>
      <c r="AE61" s="256" cm="1">
        <f t="array" ref="AE61">IF(B61="","",IF(ISERROR(_xlfn.SINGLE(_xll.BDH(B61,"PX LAST",AN61,AN61,"DAYS=ALL","PRICING SOURCE",$C$6))*1),_xll.BDP(B61,"PAR AMT"),_xll.BDH(B61,"PX LAST",AN61,AN61,"DAYS=ALL","PRICING SOURCE",$C$6)))</f>
        <v>5000</v>
      </c>
      <c r="AF61" s="150" cm="1">
        <f t="array" ref="AF61">IF(B61="","",_xll.BDP($B61,AF$9,"fill=b"))</f>
        <v>4.5</v>
      </c>
      <c r="AG61" s="150"/>
      <c r="AH61" s="190" t="e">
        <f>IF(B61="","",IF($AD61="AT MATURITY",$AB61*1,_xll.BADDPERIODS(_xll.BDP($B61,"issue dt"),"numberofperiods",TRUNC(_xll.BDP($B61,"YRS_TO_LONGEST_AVG_LIFE","YLD_YTM_BID",AF61,"SETTLE_DT",U61,AC61),0),"per=y")+(ROUND(MOD(_xll.BDP(B61,"YRS_TO_LONGEST_AVG_LIFE","YLD_YTM_BID",AF61,"SETTLE_DT",U61,AC61),1)*360,0))))</f>
        <v>#VALUE!</v>
      </c>
      <c r="AI61" s="150" t="e" cm="1">
        <f t="array" ref="AI61">IF(B61="","",AF61-_xll.BInterpol(_xll.BDP(_xll.BDS("YCGT0372 Index","curve members","CURVE_DATE", $U61,"endcol=1","array=true"),"maturity")*1,_xll.BDH(_xll.BDS("YCGT0372 Index","curve members","CURVE_DATE", $U61,"endcol=1","array=true"),"yld cnv mid",$U61,$U61,"days=all"),AH61,"CUBIC","Extrapolate=LINEAR","SKIP=TRUE","SORT=TRUE","MultiX=Average"))</f>
        <v>#VALUE!</v>
      </c>
      <c r="AJ61" s="189" t="str">
        <f t="shared" si="15"/>
        <v/>
      </c>
      <c r="AK61" s="257" t="str" cm="1">
        <f t="array" ref="AK61">IF(B61="","",_xll.BDP($B61,AK$9,"fill=b"))</f>
        <v>395.23MM</v>
      </c>
      <c r="AL61" s="257" t="str" cm="1">
        <f t="array" ref="AL61">IF(B61="","",_xll.BDP($B61,AL$9,"fill=b"))</f>
        <v>0</v>
      </c>
      <c r="AM61" s="256" cm="1">
        <f t="array" ref="AM61">IF(B61="","",_xll.BDP($B61,AM$9,"fill=b"))</f>
        <v>5000</v>
      </c>
      <c r="AN61" s="150" t="str" cm="1">
        <f t="array" ref="AN61">IF(B61="","",_xll.BDP($B61,AN$9,"fill=b"))</f>
        <v>2/26/2013</v>
      </c>
      <c r="AO61" s="150" t="str" cm="1">
        <f t="array" ref="AO61">IF(B61="","",IF(LEFT(_xlfn.SINGLE(_xll.BDP($B61,AO$9,"fill=b")),1)="#","-",_xll.BDP($B61,AO$9,"fill=b")))</f>
        <v>BBBBI,BBINVE</v>
      </c>
      <c r="AP61" s="150" t="str" cm="1">
        <f t="array" ref="AP61">IF(B61="","",_xll.BDP($B61,AP$9,"fill=b"))</f>
        <v>Utilities</v>
      </c>
      <c r="AQ61" s="150" t="str" cm="1">
        <f t="array" ref="AQ61">IF(B61="","",_xll.BDP($B61,AQ$9,"fill=b"))</f>
        <v>Water</v>
      </c>
      <c r="AR61" s="150" t="str" cm="1">
        <f t="array" ref="AR61">IF(B61="","",_xll.BDP($B61,AR$9,"fill=b"))</f>
        <v>NR</v>
      </c>
      <c r="AS61" s="150" t="str" cm="1">
        <f t="array" ref="AS61">IF(B61="","",_xll.BDP($B61,AS$9,"fill=b"))</f>
        <v>WR</v>
      </c>
      <c r="AT61" s="150" t="str" cm="1">
        <f t="array" ref="AT61">IF(B61="","",_xll.BDP($B61,AT$9,"fill=b"))</f>
        <v/>
      </c>
      <c r="AU61" s="258" t="str" cm="1">
        <f t="array" ref="AU61">IF(B61="","",_xll.BDP($B61,AU$9,"fill=b"))</f>
        <v>CPN = BZCLVLUE  INDEX+  450BP</v>
      </c>
    </row>
    <row r="62" spans="2:47" ht="15" x14ac:dyDescent="0.25">
      <c r="B62" s="232" t="s">
        <v>259</v>
      </c>
      <c r="C62" s="150" t="str" cm="1">
        <f t="array" ref="C62">IF(B62="","",_xll.BDP($B62,C$9,"fill=b"))</f>
        <v>TSAE22</v>
      </c>
      <c r="D62" s="150" t="str" cm="1">
        <f t="array" ref="D62">IF(B62="","",_xll.BDP($B62,D$9,"fill=b"))</f>
        <v>TRISOL 5.4 04/15/20</v>
      </c>
      <c r="E62" s="150" t="str" cm="1">
        <f t="array" ref="E62">IF(B62="","",_xll.BDP($B62,E$9,"fill=b"))</f>
        <v>TRIANGULO DO SOL AUT-EST</v>
      </c>
      <c r="F62" s="150" t="str" cm="1">
        <f t="array" ref="F62">IF(B62="","",IF(LEFT(_xlfn.SINGLE(_xll.BDP($B62,F$9,"fill=b")),1)="#","-",_xll.BDP($B62,F$9,"fill=b")))</f>
        <v>3284233Z IM</v>
      </c>
      <c r="G62" s="150" t="str" cm="1">
        <f t="array" ref="G62">IF(B62="","",_xll.BDP($B62,G$9,"fill=b"))</f>
        <v>BRAZIL IPCA+SPREAD</v>
      </c>
      <c r="H62" s="150" t="str" cm="1">
        <f t="array" ref="H62">IF(B62="","",_xll.BDP($B62,H$9,"fill=b"))</f>
        <v/>
      </c>
      <c r="I62" s="150" t="str" cm="1">
        <f t="array" ref="I62">IF(LEFT(_xlfn.SINGLE(_xll.BDP(B62,"REFERENCE_INDEX")),1)="#",IF(LEFT(_xlfn.SINGLE(_xll.BDP(B62, "RESET_IDX"))&amp;" Index",1)="#","",_xlfn.SINGLE(_xll.BDP(B62, "RESET_IDX"))&amp;" Index"),_xll.BDP(B62,"REFERENCE_INDEX"))</f>
        <v>BZCLVLUE Index</v>
      </c>
      <c r="J62" s="150" t="str">
        <f>IF(I62="BZDIOVRA Index",IF(_xll.BDP(B62,"FLT_SPREAD")/100=0,_xll.BDP(B62,"FLT_BENCH_MULTIPLIER"),_xll.BDP(B62,"FLT_SPREAD")/100),"")</f>
        <v/>
      </c>
      <c r="K62" s="150" t="str" cm="1">
        <f t="array" ref="K62">IF(B62="","",IF(LEFT(_xlfn.SINGLE(_xll.BDP($B62,K$9,"fill=b")),1)="#","-",_xll.BDP($B62,K$9,"fill=b")))</f>
        <v>-</v>
      </c>
      <c r="L62" s="233"/>
      <c r="M62" s="234" t="e">
        <f t="shared" si="3"/>
        <v>#VALUE!</v>
      </c>
      <c r="N62" s="252" t="e">
        <f>IF(B62="","",IF(R62="",IF(OR(AD62="SINKABLE",AD62="CALL/SINK"),_xll.BDP(B62,$N$9,$M$9,M62,"PRICING SOURCE",$C$6,"FILL=B"),_xll.BDP(B62,$N$9,$M$9,M62,"PRICING SOURCE",$C$6,"FILL=B")),IF(OR(AD62="SINKABLE",AD62="CALL/SINK"),_xll.BDP(B62,$N$9,$Q$10,S62,$M$9,M62,"PRICING SOURCE",$C$6,"FILL=B"),_xll.BDP(B62,$N$9,$Q$9,S62,$M$9,M62,"PRICING SOURCE",$C$6,"FILL=B"))))</f>
        <v>#VALUE!</v>
      </c>
      <c r="O62" s="235"/>
      <c r="P62" s="236" t="e">
        <f t="shared" si="16"/>
        <v>#VALUE!</v>
      </c>
      <c r="Q62" s="166" t="str">
        <f>IF(ISERROR((IF(OR(AD62="SINKABLE",AD62="CALL/SINK"),_xll.BDP($B62,$Q$10,"fill=b","PRICING_SOURCE",$C$6,$AC62,$N$9,$P62,$M$9,$M62),_xll.BDP($B62,Q$9,"fill=b","PRICING_SOURCE",$C$6,$AC62,$N$9,$P62,$M$9,$M62)))*1),"",IF(OR(AD62="SINKABLE",AD62="CALL/SINK"),_xll.BDP($B62,$Q$10,"fill=b","PRICING_SOURCE",$C$6,$AC62,$N$9,$P62,$M$9,$M62),_xll.BDP($B62,Q$9,"fill=b","PRICING_SOURCE",$C$6,$AC62,$N$9,$P62,$M$9,$M62)))</f>
        <v/>
      </c>
      <c r="R62" s="237"/>
      <c r="S62" s="238" t="str">
        <f t="shared" si="17"/>
        <v/>
      </c>
      <c r="T62" s="239" cm="1">
        <f t="array" ref="T62">IF(ISERROR((_xlfn.SINGLE(IF(OR(AD62="SINKABLE",AD62="CALL/SINK"),_xll.BDP($B62,$Q$10,"fill=b","PRICING_SOURCE",$C$6,$AC62,$M$9,$U62,"px ask",$AE62),_xll.BDP($B62,Q$9,"fill=b","PRICING_SOURCE",$C$6,$AC62,$M$9,$U62,"px ask",$AE62))))*1),"",IF(OR(AD62="SINKABLE",AD62="CALL/SINK"),_xll.BDP($B62,$Q$10,"fill=b","PRICING_SOURCE",$C$6,$AC62,$M$9,$U62,"px ask",$AE62),_xll.BDP($B62,Q$9,"fill=b","PRICING_SOURCE",$C$6,$AC62,$M$9,$U62,"px ask",$AE62)))</f>
        <v>116.41665653818177</v>
      </c>
      <c r="U62" s="240" t="str">
        <f t="shared" si="13"/>
        <v>20130226</v>
      </c>
      <c r="V62" s="254" t="e" cm="1">
        <f t="array" ref="V62">IF(B62="","",IF(I62="BZDIOVRA Index",IF(OR(AD62="SINKABLE",AD62="CALL/SINK"),_xll.BDP($B62,"PX_ASK",$Q$10,J62,$M$9,M62),_xll.BDP($B62,"PX_"&amp;$H$7,$Q$9,J62,$M$9,M62)),_xll.BDP($B62,"PX_"&amp;$H$7,$Q$9,_xll.BDP(B62,"CPN"),$M$9,M62)))</f>
        <v>#VALUE!</v>
      </c>
      <c r="W62" s="254" t="str">
        <f t="shared" si="14"/>
        <v/>
      </c>
      <c r="X62" s="166" t="e">
        <f>IF(B62="","",IF(OR(AD62="SINKABLE",AD62="CALL/SINK"),_xll.BDP($B62,X$9,"fill=b","PRICING_SOURCE",$C$6,$AC62,$M$9,$M62,$N$9,$P62,$Q$10,$S62),_xll.BDP($B62,X$9,"fill=b","PRICING_SOURCE",$C$6,$AC62,$M$9,$M62,$N$9,$P62,$Q$9,$S62)))</f>
        <v>#VALUE!</v>
      </c>
      <c r="Y62" s="166" t="e">
        <f>IF(B62="","",IF(OR(AD62="SINKABLE",AD62="CALL/SINK"),_xll.BDP($B62,Y$9,"fill=b","PRICING_SOURCE",$C$6,$AC62,$M$9,$M62,$N$9,$P62,$Q$10,$S62),_xll.BDP($B62,Y$9,"fill=b","PRICING_SOURCE",$C$6,$AC62,$M$9,$M62,$N$9,$P62,$Q$9,$S62)))</f>
        <v>#VALUE!</v>
      </c>
      <c r="Z62" s="255" t="e">
        <f>IF(B62="","",IF(OR(AD62="SINKABLE",AD62="CALL/SINK"),_xll.BDP($B62,Z$9,"fill=b","PRICING_SOURCE",$C$6,$AC62,$M$9,$M62,$N$9,$P62,$Q$10,$S62),_xll.BDP($B62,Z$9,"fill=b","PRICING_SOURCE",$C$6,$AC62,$M$9,$M62,$N$9,$P62,$Q$9,$S62)))</f>
        <v>#VALUE!</v>
      </c>
      <c r="AA62" s="166" t="e">
        <f>IF(B62="","",IF(OR(AD62="SINKABLE",AD62="CALL/SINK"),_xll.BDP($B62,AA$9,"fill=b","PRICING_SOURCE",$C$6,$AC62,$M$9,$M62,$N$9,$P62,$Q$10,$S62),_xll.BDP($B62,AA$9,"fill=b","PRICING_SOURCE",$C$6,$AC62,$M$9,$M62,$N$9,$P62,$Q$9,$S62)))</f>
        <v>#VALUE!</v>
      </c>
      <c r="AB62" s="150" t="str" cm="1">
        <f t="array" ref="AB62">IF(B62="","",IF(LEFT(_xlfn.SINGLE(_xll.BDP($B62,AB$9,"fill=b")),1)="#","-",_xll.BDP($B62,AB$9,"fill=b")))</f>
        <v>4/15/2020</v>
      </c>
      <c r="AC62" s="150" t="str">
        <f t="shared" si="18"/>
        <v>YLD FLAG=28</v>
      </c>
      <c r="AD62" s="150" t="str" cm="1">
        <f t="array" ref="AD62">IF(B62="","",_xll.BDP($B62,AD$9,"fill=b"))</f>
        <v>CALL/SINK</v>
      </c>
      <c r="AE62" s="256" cm="1">
        <f t="array" ref="AE62">IF(B62="","",IF(ISERROR(_xlfn.SINGLE(_xll.BDH(B62,"PX LAST",AN62,AN62,"DAYS=ALL","PRICING SOURCE",$C$6))*1),_xll.BDP(B62,"PAR AMT"),_xll.BDH(B62,"PX LAST",AN62,AN62,"DAYS=ALL","PRICING SOURCE",$C$6)))</f>
        <v>1450</v>
      </c>
      <c r="AF62" s="150" cm="1">
        <f t="array" ref="AF62">IF(B62="","",_xll.BDP($B62,AF$9,"fill=b"))</f>
        <v>5.4</v>
      </c>
      <c r="AG62" s="150"/>
      <c r="AH62" s="190" t="e">
        <f>IF(B62="","",IF($AD62="AT MATURITY",$AB62*1,_xll.BADDPERIODS(_xll.BDP($B62,"issue dt"),"numberofperiods",TRUNC(_xll.BDP($B62,"YRS_TO_LONGEST_AVG_LIFE","YLD_YTM_BID",AF62,"SETTLE_DT",U62,AC62),0),"per=y")+(ROUND(MOD(_xll.BDP(B62,"YRS_TO_LONGEST_AVG_LIFE","YLD_YTM_BID",AF62,"SETTLE_DT",U62,AC62),1)*360,0))))</f>
        <v>#VALUE!</v>
      </c>
      <c r="AI62" s="150" t="e">
        <f t="array" ref="AI62">IF(B62="","",AF62-_xll.BInterpol(_xll.BDP(_xll.BDS("YCGT0372 Index","curve members","CURVE_DATE", $U62,"endcol=1","array=true"),"maturity")*1,_xll.BDH(_xll.BDS("YCGT0372 Index","curve members","CURVE_DATE", $U62,"endcol=1","array=true"),"yld cnv mid",$U62,$U62,"days=all"),AH62,"CUBIC","Extrapolate=LINEAR","SKIP=TRUE","SORT=TRUE","MultiX=Average"))</f>
        <v>#VALUE!</v>
      </c>
      <c r="AJ62" s="189" t="str">
        <f t="shared" si="15"/>
        <v/>
      </c>
      <c r="AK62" s="257" t="str" cm="1">
        <f t="array" ref="AK62">IF(B62="","",_xll.BDP($B62,AK$9,"fill=b"))</f>
        <v>367.05MM</v>
      </c>
      <c r="AL62" s="257" t="str" cm="1">
        <f t="array" ref="AL62">IF(B62="","",_xll.BDP($B62,AL$9,"fill=b"))</f>
        <v>0</v>
      </c>
      <c r="AM62" s="256" cm="1">
        <f t="array" ref="AM62">IF(B62="","",_xll.BDP($B62,AM$9,"fill=b"))</f>
        <v>1450</v>
      </c>
      <c r="AN62" s="150" t="str" cm="1">
        <f t="array" ref="AN62">IF(B62="","",_xll.BDP($B62,AN$9,"fill=b"))</f>
        <v>2/26/2013</v>
      </c>
      <c r="AO62" s="150" t="str" cm="1">
        <f t="array" ref="AO62">IF(B62="","",IF(LEFT(_xlfn.SINGLE(_xll.BDP($B62,AO$9,"fill=b")),1)="#","-",_xll.BDP($B62,AO$9,"fill=b")))</f>
        <v>JOINT LEADS</v>
      </c>
      <c r="AP62" s="150" t="str" cm="1">
        <f t="array" ref="AP62">IF(B62="","",_xll.BDP($B62,AP$9,"fill=b"))</f>
        <v>Industrial</v>
      </c>
      <c r="AQ62" s="150" t="str" cm="1">
        <f t="array" ref="AQ62">IF(B62="","",_xll.BDP($B62,AQ$9,"fill=b"))</f>
        <v>Engineering&amp;Construction</v>
      </c>
      <c r="AR62" s="150" t="str" cm="1">
        <f t="array" ref="AR62">IF(B62="","",_xll.BDP($B62,AR$9,"fill=b"))</f>
        <v>NR</v>
      </c>
      <c r="AS62" s="150" t="str" cm="1">
        <f t="array" ref="AS62">IF(B62="","",_xll.BDP($B62,AS$9,"fill=b"))</f>
        <v>WR</v>
      </c>
      <c r="AT62" s="150" t="str" cm="1">
        <f t="array" ref="AT62">IF(B62="","",_xll.BDP($B62,AT$9,"fill=b"))</f>
        <v>WD</v>
      </c>
      <c r="AU62" s="258" t="str" cm="1">
        <f t="array" ref="AU62">IF(B62="","",_xll.BDP($B62,AU$9,"fill=b"))</f>
        <v>CPN = BZCLVLUE + 540 BPS.</v>
      </c>
    </row>
    <row r="63" spans="2:47" ht="15" x14ac:dyDescent="0.25">
      <c r="B63" s="232" t="s">
        <v>292</v>
      </c>
      <c r="C63" s="150" t="str" cm="1">
        <f t="array" ref="C63">IF(B63="","",_xll.BDP($B63,C$9,"fill=b"))</f>
        <v>IGTA24</v>
      </c>
      <c r="D63" s="150" t="str" cm="1">
        <f t="array" ref="D63">IF(B63="","",_xll.BDP($B63,D$9,"fill=b"))</f>
        <v>IGTABZ 4.31 02/15/21</v>
      </c>
      <c r="E63" s="150" t="str" cm="1">
        <f t="array" ref="E63">IF(B63="","",_xll.BDP($B63,E$9,"fill=b"))</f>
        <v>IGUATEMI EMPRESA DE SHOP</v>
      </c>
      <c r="F63" s="150" t="str" cm="1">
        <f t="array" ref="F63">IF(B63="","",IF(LEFT(_xlfn.SINGLE(_xll.BDP($B63,F$9,"fill=b")),1)="#","-",_xll.BDP($B63,F$9,"fill=b")))</f>
        <v>IGTI3 BZ</v>
      </c>
      <c r="G63" s="150" t="str" cm="1">
        <f t="array" ref="G63">IF(B63="","",_xll.BDP($B63,G$9,"fill=b"))</f>
        <v>BRAZIL IPCA+SPREAD</v>
      </c>
      <c r="H63" s="150" t="str" cm="1">
        <f t="array" ref="H63">IF(B63="","",_xll.BDP($B63,H$9,"fill=b"))</f>
        <v/>
      </c>
      <c r="I63" s="150" t="str" cm="1">
        <f t="array" ref="I63">IF(LEFT(_xlfn.SINGLE(_xll.BDP(B63,"REFERENCE_INDEX")),1)="#",IF(LEFT(_xlfn.SINGLE(_xll.BDP(B63, "RESET_IDX"))&amp;" Index",1)="#","",_xlfn.SINGLE(_xll.BDP(B63, "RESET_IDX"))&amp;" Index"),_xll.BDP(B63,"REFERENCE_INDEX"))</f>
        <v>BZCLVLUE Index</v>
      </c>
      <c r="J63" s="150" t="str">
        <f>IF(I63="BZDIOVRA Index",IF(_xll.BDP(B63,"FLT_SPREAD")/100=0,_xll.BDP(B63,"FLT_BENCH_MULTIPLIER"),_xll.BDP(B63,"FLT_SPREAD")/100),"")</f>
        <v/>
      </c>
      <c r="K63" s="150" t="str" cm="1">
        <f t="array" ref="K63">IF(B63="","",IF(LEFT(_xlfn.SINGLE(_xll.BDP($B63,K$9,"fill=b")),1)="#","-",_xll.BDP($B63,K$9,"fill=b")))</f>
        <v>-</v>
      </c>
      <c r="L63" s="233"/>
      <c r="M63" s="234" t="e">
        <f t="shared" si="3"/>
        <v>#VALUE!</v>
      </c>
      <c r="N63" s="252" t="e">
        <f>IF(B63="","",IF(R63="",IF(OR(AD63="SINKABLE",AD63="CALL/SINK"),_xll.BDP(B63,$N$9,$M$9,M63,"PRICING SOURCE",$C$6,"FILL=B"),_xll.BDP(B63,$N$9,$M$9,M63,"PRICING SOURCE",$C$6,"FILL=B")),IF(OR(AD63="SINKABLE",AD63="CALL/SINK"),_xll.BDP(B63,$N$9,$Q$10,S63,$M$9,M63,"PRICING SOURCE",$C$6,"FILL=B"),_xll.BDP(B63,$N$9,$Q$9,S63,$M$9,M63,"PRICING SOURCE",$C$6,"FILL=B"))))</f>
        <v>#VALUE!</v>
      </c>
      <c r="O63" s="235"/>
      <c r="P63" s="236" t="e">
        <f t="shared" si="16"/>
        <v>#VALUE!</v>
      </c>
      <c r="Q63" s="166" t="str">
        <f>IF(ISERROR((IF(OR(AD63="SINKABLE",AD63="CALL/SINK"),_xll.BDP($B63,$Q$10,"fill=b","PRICING_SOURCE",$C$6,$AC63,$N$9,$P63,$M$9,$M63),_xll.BDP($B63,Q$9,"fill=b","PRICING_SOURCE",$C$6,$AC63,$N$9,$P63,$M$9,$M63)))*1),"",IF(OR(AD63="SINKABLE",AD63="CALL/SINK"),_xll.BDP($B63,$Q$10,"fill=b","PRICING_SOURCE",$C$6,$AC63,$N$9,$P63,$M$9,$M63),_xll.BDP($B63,Q$9,"fill=b","PRICING_SOURCE",$C$6,$AC63,$N$9,$P63,$M$9,$M63)))</f>
        <v/>
      </c>
      <c r="R63" s="237"/>
      <c r="S63" s="238" t="str">
        <f t="shared" si="17"/>
        <v/>
      </c>
      <c r="T63" s="239" cm="1">
        <f t="array" ref="T63">IF(ISERROR((_xlfn.SINGLE(IF(OR(AD63="SINKABLE",AD63="CALL/SINK"),_xll.BDP($B63,$Q$10,"fill=b","PRICING_SOURCE",$C$6,$AC63,$M$9,$U63,"px ask",$AE63),_xll.BDP($B63,Q$9,"fill=b","PRICING_SOURCE",$C$6,$AC63,$M$9,$U63,"px ask",$AE63))))*1),"",IF(OR(AD63="SINKABLE",AD63="CALL/SINK"),_xll.BDP($B63,$Q$10,"fill=b","PRICING_SOURCE",$C$6,$AC63,$M$9,$U63,"px ask",$AE63),_xll.BDP($B63,Q$9,"fill=b","PRICING_SOURCE",$C$6,$AC63,$M$9,$U63,"px ask",$AE63)))</f>
        <v>4.3499856221506006</v>
      </c>
      <c r="U63" s="240" t="str">
        <f t="shared" si="13"/>
        <v>20130225</v>
      </c>
      <c r="V63" s="254" t="e" cm="1">
        <f t="array" ref="V63">IF(B63="","",IF(I63="BZDIOVRA Index",IF(OR(AD63="SINKABLE",AD63="CALL/SINK"),_xll.BDP($B63,"PX_ASK",$Q$10,J63,$M$9,M63),_xll.BDP($B63,"PX_"&amp;$H$7,$Q$9,J63,$M$9,M63)),_xll.BDP($B63,"PX_"&amp;$H$7,$Q$9,_xll.BDP(B63,"CPN"),$M$9,M63)))</f>
        <v>#VALUE!</v>
      </c>
      <c r="W63" s="254" t="str">
        <f t="shared" si="14"/>
        <v/>
      </c>
      <c r="X63" s="166" t="e">
        <f>IF(B63="","",IF(OR(AD63="SINKABLE",AD63="CALL/SINK"),_xll.BDP($B63,X$9,"fill=b","PRICING_SOURCE",$C$6,$AC63,$M$9,$M63,$N$9,$P63,$Q$10,$S63),_xll.BDP($B63,X$9,"fill=b","PRICING_SOURCE",$C$6,$AC63,$M$9,$M63,$N$9,$P63,$Q$9,$S63)))</f>
        <v>#VALUE!</v>
      </c>
      <c r="Y63" s="166" t="e">
        <f>IF(B63="","",IF(OR(AD63="SINKABLE",AD63="CALL/SINK"),_xll.BDP($B63,Y$9,"fill=b","PRICING_SOURCE",$C$6,$AC63,$M$9,$M63,$N$9,$P63,$Q$10,$S63),_xll.BDP($B63,Y$9,"fill=b","PRICING_SOURCE",$C$6,$AC63,$M$9,$M63,$N$9,$P63,$Q$9,$S63)))</f>
        <v>#VALUE!</v>
      </c>
      <c r="Z63" s="255" t="e">
        <f>IF(B63="","",IF(OR(AD63="SINKABLE",AD63="CALL/SINK"),_xll.BDP($B63,Z$9,"fill=b","PRICING_SOURCE",$C$6,$AC63,$M$9,$M63,$N$9,$P63,$Q$10,$S63),_xll.BDP($B63,Z$9,"fill=b","PRICING_SOURCE",$C$6,$AC63,$M$9,$M63,$N$9,$P63,$Q$9,$S63)))</f>
        <v>#VALUE!</v>
      </c>
      <c r="AA63" s="166" t="e">
        <f>IF(B63="","",IF(OR(AD63="SINKABLE",AD63="CALL/SINK"),_xll.BDP($B63,AA$9,"fill=b","PRICING_SOURCE",$C$6,$AC63,$M$9,$M63,$N$9,$P63,$Q$10,$S63),_xll.BDP($B63,AA$9,"fill=b","PRICING_SOURCE",$C$6,$AC63,$M$9,$M63,$N$9,$P63,$Q$9,$S63)))</f>
        <v>#VALUE!</v>
      </c>
      <c r="AB63" s="150" t="str" cm="1">
        <f t="array" ref="AB63">IF(B63="","",IF(LEFT(_xlfn.SINGLE(_xll.BDP($B63,AB$9,"fill=b")),1)="#","-",_xll.BDP($B63,AB$9,"fill=b")))</f>
        <v>2/15/2021</v>
      </c>
      <c r="AC63" s="150" t="str">
        <f t="shared" si="18"/>
        <v>YLD FLAG=1</v>
      </c>
      <c r="AD63" s="150" t="str" cm="1">
        <f t="array" ref="AD63">IF(B63="","",_xll.BDP($B63,AD$9,"fill=b"))</f>
        <v>AT MATURITY</v>
      </c>
      <c r="AE63" s="256" cm="1">
        <f t="array" ref="AE63">IF(B63="","",IF(ISERROR(_xlfn.SINGLE(_xll.BDH(B63,"PX LAST",AN63,AN63,"DAYS=ALL","PRICING SOURCE",$C$6))*1),_xll.BDP(B63,"PAR AMT"),_xll.BDH(B63,"PX LAST",AN63,AN63,"DAYS=ALL","PRICING SOURCE",$C$6)))</f>
        <v>10000</v>
      </c>
      <c r="AF63" s="150" cm="1">
        <f t="array" ref="AF63">IF(B63="","",_xll.BDP($B63,AF$9,"fill=b"))</f>
        <v>4.3099999999999996</v>
      </c>
      <c r="AG63" s="150"/>
      <c r="AH63" s="190">
        <f>IF(B63="","",IF($AD63="AT MATURITY",$AB63*1,_xll.BADDPERIODS(_xll.BDP($B63,"issue dt"),"numberofperiods",TRUNC(_xll.BDP($B63,"YRS_TO_LONGEST_AVG_LIFE","YLD_YTM_BID",AF63,"SETTLE_DT",U63,AC63),0),"per=y")+(ROUND(MOD(_xll.BDP(B63,"YRS_TO_LONGEST_AVG_LIFE","YLD_YTM_BID",AF63,"SETTLE_DT",U63,AC63),1)*360,0))))</f>
        <v>44242</v>
      </c>
      <c r="AI63" s="150" t="e" cm="1">
        <f t="array" ref="AI63">IF(B63="","",AF63-_xll.BInterpol(_xll.BDP(_xll.BDS("YCGT0372 Index","curve members","CURVE_DATE", $U63,"endcol=1","array=true"),"maturity")*1,_xll.BDH(_xll.BDS("YCGT0372 Index","curve members","CURVE_DATE", $U63,"endcol=1","array=true"),"yld cnv mid",$U63,$U63,"days=all"),AH63,"CUBIC","Extrapolate=LINEAR","SKIP=TRUE","SORT=TRUE","MultiX=Average"))</f>
        <v>#VALUE!</v>
      </c>
      <c r="AJ63" s="189" t="str">
        <f t="shared" si="15"/>
        <v/>
      </c>
      <c r="AK63" s="257" t="str" cm="1">
        <f t="array" ref="AK63">IF(B63="","",_xll.BDP($B63,AK$9,"fill=b"))</f>
        <v>50MM</v>
      </c>
      <c r="AL63" s="257" t="str" cm="1">
        <f t="array" ref="AL63">IF(B63="","",_xll.BDP($B63,AL$9,"fill=b"))</f>
        <v>0</v>
      </c>
      <c r="AM63" s="256" cm="1">
        <f t="array" ref="AM63">IF(B63="","",_xll.BDP($B63,AM$9,"fill=b"))</f>
        <v>10000</v>
      </c>
      <c r="AN63" s="150" t="str" cm="1">
        <f t="array" ref="AN63">IF(B63="","",_xll.BDP($B63,AN$9,"fill=b"))</f>
        <v>2/25/2013</v>
      </c>
      <c r="AO63" s="150" t="str" cm="1">
        <f t="array" ref="AO63">IF(B63="","",IF(LEFT(_xlfn.SINGLE(_xll.BDP($B63,AO$9,"fill=b")),1)="#","-",_xll.BDP($B63,AO$9,"fill=b")))</f>
        <v>JOINT LEADS</v>
      </c>
      <c r="AP63" s="150" t="str" cm="1">
        <f t="array" ref="AP63">IF(B63="","",_xll.BDP($B63,AP$9,"fill=b"))</f>
        <v>Financial</v>
      </c>
      <c r="AQ63" s="150" t="str" cm="1">
        <f t="array" ref="AQ63">IF(B63="","",_xll.BDP($B63,AQ$9,"fill=b"))</f>
        <v>Real Estate</v>
      </c>
      <c r="AR63" s="150" t="str" cm="1">
        <f t="array" ref="AR63">IF(B63="","",_xll.BDP($B63,AR$9,"fill=b"))</f>
        <v/>
      </c>
      <c r="AS63" s="150" t="str" cm="1">
        <f t="array" ref="AS63">IF(B63="","",_xll.BDP($B63,AS$9,"fill=b"))</f>
        <v/>
      </c>
      <c r="AT63" s="150" t="str" cm="1">
        <f t="array" ref="AT63">IF(B63="","",_xll.BDP($B63,AT$9,"fill=b"))</f>
        <v>NR</v>
      </c>
      <c r="AU63" s="258" t="str" cm="1">
        <f t="array" ref="AU63">IF(B63="","",_xll.BDP($B63,AU$9,"fill=b"))</f>
        <v>CPN = BZCLVLUE INDEX + 431BPS.</v>
      </c>
    </row>
    <row r="64" spans="2:47" ht="15" x14ac:dyDescent="0.25">
      <c r="B64" s="232" t="s">
        <v>275</v>
      </c>
      <c r="C64" s="150" t="str" cm="1">
        <f t="array" ref="C64">IF(B64="","",_xll.BDP($B64,C$9,"fill=b"))</f>
        <v>CART22</v>
      </c>
      <c r="D64" s="150" t="str" cm="1">
        <f t="array" ref="D64">IF(B64="","",_xll.BDP($B64,D$9,"fill=b"))</f>
        <v>COAURA 6.05 12/15/24</v>
      </c>
      <c r="E64" s="150" t="str" cm="1">
        <f t="array" ref="E64">IF(B64="","",_xll.BDP($B64,E$9,"fill=b"))</f>
        <v>AUTO RAPOSO TAVARES</v>
      </c>
      <c r="F64" s="150" t="str" cm="1">
        <f t="array" ref="F64">IF(B64="","",IF(LEFT(_xlfn.SINGLE(_xll.BDP($B64,F$9,"fill=b")),1)="#","-",_xll.BDP($B64,F$9,"fill=b")))</f>
        <v>IVPR3B BZ</v>
      </c>
      <c r="G64" s="150" t="str" cm="1">
        <f t="array" ref="G64">IF(B64="","",_xll.BDP($B64,G$9,"fill=b"))</f>
        <v>BRAZIL IPCA+SPREAD</v>
      </c>
      <c r="H64" s="150" t="str" cm="1">
        <f t="array" ref="H64">IF(B64="","",_xll.BDP($B64,H$9,"fill=b"))</f>
        <v/>
      </c>
      <c r="I64" s="150" t="str" cm="1">
        <f t="array" ref="I64">IF(LEFT(_xlfn.SINGLE(_xll.BDP(B64,"REFERENCE_INDEX")),1)="#",IF(LEFT(_xlfn.SINGLE(_xll.BDP(B64, "RESET_IDX"))&amp;" Index",1)="#","",_xlfn.SINGLE(_xll.BDP(B64, "RESET_IDX"))&amp;" Index"),_xll.BDP(B64,"REFERENCE_INDEX"))</f>
        <v>BZCLVLUE Index</v>
      </c>
      <c r="J64" s="150" t="str">
        <f>IF(I64="BZDIOVRA Index",IF(_xll.BDP(B64,"FLT_SPREAD")/100=0,_xll.BDP(B64,"FLT_BENCH_MULTIPLIER"),_xll.BDP(B64,"FLT_SPREAD")/100),"")</f>
        <v/>
      </c>
      <c r="K64" s="150" t="str" cm="1">
        <f t="array" ref="K64">IF(B64="","",IF(LEFT(_xlfn.SINGLE(_xll.BDP($B64,K$9,"fill=b")),1)="#","-",_xll.BDP($B64,K$9,"fill=b")))</f>
        <v>-</v>
      </c>
      <c r="L64" s="233"/>
      <c r="M64" s="234" t="e">
        <f t="shared" si="3"/>
        <v>#VALUE!</v>
      </c>
      <c r="N64" s="252" t="e">
        <f>IF(B64="","",IF(R64="",IF(OR(AD64="SINKABLE",AD64="CALL/SINK"),_xll.BDP(B64,$N$9,$M$9,M64,"PRICING SOURCE",$C$6,"FILL=B"),_xll.BDP(B64,$N$9,$M$9,M64,"PRICING SOURCE",$C$6,"FILL=B")),IF(OR(AD64="SINKABLE",AD64="CALL/SINK"),_xll.BDP(B64,$N$9,$Q$10,S64,$M$9,M64,"PRICING SOURCE",$C$6,"FILL=B"),_xll.BDP(B64,$N$9,$Q$9,S64,$M$9,M64,"PRICING SOURCE",$C$6,"FILL=B"))))</f>
        <v>#VALUE!</v>
      </c>
      <c r="O64" s="235"/>
      <c r="P64" s="236" t="e">
        <f t="shared" si="16"/>
        <v>#VALUE!</v>
      </c>
      <c r="Q64" s="166" t="str">
        <f>IF(ISERROR((IF(OR(AD64="SINKABLE",AD64="CALL/SINK"),_xll.BDP($B64,$Q$10,"fill=b","PRICING_SOURCE",$C$6,$AC64,$N$9,$P64,$M$9,$M64),_xll.BDP($B64,Q$9,"fill=b","PRICING_SOURCE",$C$6,$AC64,$N$9,$P64,$M$9,$M64)))*1),"",IF(OR(AD64="SINKABLE",AD64="CALL/SINK"),_xll.BDP($B64,$Q$10,"fill=b","PRICING_SOURCE",$C$6,$AC64,$N$9,$P64,$M$9,$M64),_xll.BDP($B64,Q$9,"fill=b","PRICING_SOURCE",$C$6,$AC64,$N$9,$P64,$M$9,$M64)))</f>
        <v/>
      </c>
      <c r="R64" s="237"/>
      <c r="S64" s="238" t="str">
        <f t="shared" si="17"/>
        <v/>
      </c>
      <c r="T64" s="239" cm="1">
        <f t="array" ref="T64">IF(ISERROR((_xlfn.SINGLE(IF(OR(AD64="SINKABLE",AD64="CALL/SINK"),_xll.BDP($B64,$Q$10,"fill=b","PRICING_SOURCE",$C$6,$AC64,$M$9,$U64,"px ask",$AE64),_xll.BDP($B64,Q$9,"fill=b","PRICING_SOURCE",$C$6,$AC64,$M$9,$U64,"px ask",$AE64))))*1),"",IF(OR(AD64="SINKABLE",AD64="CALL/SINK"),_xll.BDP($B64,$Q$10,"fill=b","PRICING_SOURCE",$C$6,$AC64,$M$9,$U64,"px ask",$AE64),_xll.BDP($B64,Q$9,"fill=b","PRICING_SOURCE",$C$6,$AC64,$M$9,$U64,"px ask",$AE64)))</f>
        <v>67.378927242419621</v>
      </c>
      <c r="U64" s="240" t="str">
        <f t="shared" si="13"/>
        <v>20121215</v>
      </c>
      <c r="V64" s="254" t="e" cm="1">
        <f t="array" ref="V64">IF(B64="","",IF(I64="BZDIOVRA Index",IF(OR(AD64="SINKABLE",AD64="CALL/SINK"),_xll.BDP($B64,"PX_ASK",$Q$10,J64,$M$9,M64),_xll.BDP($B64,"PX_"&amp;$H$7,$Q$9,J64,$M$9,M64)),_xll.BDP($B64,"PX_"&amp;$H$7,$Q$9,_xll.BDP(B64,"CPN"),$M$9,M64)))</f>
        <v>#VALUE!</v>
      </c>
      <c r="W64" s="254" t="str">
        <f t="shared" si="14"/>
        <v/>
      </c>
      <c r="X64" s="166" t="e">
        <f>IF(B64="","",IF(OR(AD64="SINKABLE",AD64="CALL/SINK"),_xll.BDP($B64,X$9,"fill=b","PRICING_SOURCE",$C$6,$AC64,$M$9,$M64,$N$9,$P64,$Q$10,$S64),_xll.BDP($B64,X$9,"fill=b","PRICING_SOURCE",$C$6,$AC64,$M$9,$M64,$N$9,$P64,$Q$9,$S64)))</f>
        <v>#VALUE!</v>
      </c>
      <c r="Y64" s="166" t="e">
        <f>IF(B64="","",IF(OR(AD64="SINKABLE",AD64="CALL/SINK"),_xll.BDP($B64,Y$9,"fill=b","PRICING_SOURCE",$C$6,$AC64,$M$9,$M64,$N$9,$P64,$Q$10,$S64),_xll.BDP($B64,Y$9,"fill=b","PRICING_SOURCE",$C$6,$AC64,$M$9,$M64,$N$9,$P64,$Q$9,$S64)))</f>
        <v>#VALUE!</v>
      </c>
      <c r="Z64" s="255" t="e">
        <f>IF(B64="","",IF(OR(AD64="SINKABLE",AD64="CALL/SINK"),_xll.BDP($B64,Z$9,"fill=b","PRICING_SOURCE",$C$6,$AC64,$M$9,$M64,$N$9,$P64,$Q$10,$S64),_xll.BDP($B64,Z$9,"fill=b","PRICING_SOURCE",$C$6,$AC64,$M$9,$M64,$N$9,$P64,$Q$9,$S64)))</f>
        <v>#VALUE!</v>
      </c>
      <c r="AA64" s="166" t="e">
        <f>IF(B64="","",IF(OR(AD64="SINKABLE",AD64="CALL/SINK"),_xll.BDP($B64,AA$9,"fill=b","PRICING_SOURCE",$C$6,$AC64,$M$9,$M64,$N$9,$P64,$Q$10,$S64),_xll.BDP($B64,AA$9,"fill=b","PRICING_SOURCE",$C$6,$AC64,$M$9,$M64,$N$9,$P64,$Q$9,$S64)))</f>
        <v>#VALUE!</v>
      </c>
      <c r="AB64" s="150" t="str" cm="1">
        <f t="array" ref="AB64">IF(B64="","",IF(LEFT(_xlfn.SINGLE(_xll.BDP($B64,AB$9,"fill=b")),1)="#","-",_xll.BDP($B64,AB$9,"fill=b")))</f>
        <v>12/15/2024</v>
      </c>
      <c r="AC64" s="150" t="str">
        <f t="shared" si="18"/>
        <v>YLD FLAG=28</v>
      </c>
      <c r="AD64" s="150" t="str" cm="1">
        <f t="array" ref="AD64">IF(B64="","",_xll.BDP($B64,AD$9,"fill=b"))</f>
        <v>SINKABLE</v>
      </c>
      <c r="AE64" s="256" cm="1">
        <f t="array" ref="AE64">IF(B64="","",IF(ISERROR(_xlfn.SINGLE(_xll.BDH(B64,"PX LAST",AN64,AN64,"DAYS=ALL","PRICING SOURCE",$C$6))*1),_xll.BDP(B64,"PAR AMT"),_xll.BDH(B64,"PX LAST",AN64,AN64,"DAYS=ALL","PRICING SOURCE",$C$6)))</f>
        <v>300</v>
      </c>
      <c r="AF64" s="150" cm="1">
        <f t="array" ref="AF64">IF(B64="","",_xll.BDP($B64,AF$9,"fill=b"))</f>
        <v>6.05</v>
      </c>
      <c r="AG64" s="150"/>
      <c r="AH64" s="190" t="e">
        <f>IF(B64="","",IF($AD64="AT MATURITY",$AB64*1,_xll.BADDPERIODS(_xll.BDP($B64,"issue dt"),"numberofperiods",TRUNC(_xll.BDP($B64,"YRS_TO_LONGEST_AVG_LIFE","YLD_YTM_BID",AF64,"SETTLE_DT",U64,AC64),0),"per=y")+(ROUND(MOD(_xll.BDP(B64,"YRS_TO_LONGEST_AVG_LIFE","YLD_YTM_BID",AF64,"SETTLE_DT",U64,AC64),1)*360,0))))</f>
        <v>#VALUE!</v>
      </c>
      <c r="AI64" s="150" t="e" cm="1">
        <f t="array" ref="AI64">IF(B64="","",AF64-_xll.BInterpol(_xll.BDP(_xll.BDS("YCGT0372 Index","curve members","CURVE_DATE", $U64,"endcol=1","array=true"),"maturity")*1,_xll.BDH(_xll.BDS("YCGT0372 Index","curve members","CURVE_DATE", $U64,"endcol=1","array=true"),"yld cnv mid",$U64,$U64,"days=all"),AH64,"CUBIC","Extrapolate=LINEAR","SKIP=TRUE","SORT=TRUE","MultiX=Average"))</f>
        <v>#VALUE!</v>
      </c>
      <c r="AJ64" s="189" t="str">
        <f t="shared" si="15"/>
        <v/>
      </c>
      <c r="AK64" s="257" t="str" cm="1">
        <f t="array" ref="AK64">IF(B64="","",_xll.BDP($B64,AK$9,"fill=b"))</f>
        <v>370MM</v>
      </c>
      <c r="AL64" s="257" t="str" cm="1">
        <f t="array" ref="AL64">IF(B64="","",_xll.BDP($B64,AL$9,"fill=b"))</f>
        <v>0</v>
      </c>
      <c r="AM64" s="256" cm="1">
        <f t="array" ref="AM64">IF(B64="","",_xll.BDP($B64,AM$9,"fill=b"))</f>
        <v>300</v>
      </c>
      <c r="AN64" s="150" t="str" cm="1">
        <f t="array" ref="AN64">IF(B64="","",_xll.BDP($B64,AN$9,"fill=b"))</f>
        <v>12/15/2012</v>
      </c>
      <c r="AO64" s="150" t="str" cm="1">
        <f t="array" ref="AO64">IF(B64="","",IF(LEFT(_xlfn.SINGLE(_xll.BDP($B64,AO$9,"fill=b")),1)="#","-",_xll.BDP($B64,AO$9,"fill=b")))</f>
        <v>JOINT LEADS</v>
      </c>
      <c r="AP64" s="150" t="str" cm="1">
        <f t="array" ref="AP64">IF(B64="","",_xll.BDP($B64,AP$9,"fill=b"))</f>
        <v>Consumer, Non-cyclical</v>
      </c>
      <c r="AQ64" s="150" t="str" cm="1">
        <f t="array" ref="AQ64">IF(B64="","",_xll.BDP($B64,AQ$9,"fill=b"))</f>
        <v>Commercial Services</v>
      </c>
      <c r="AR64" s="150" t="str" cm="1">
        <f t="array" ref="AR64">IF(B64="","",_xll.BDP($B64,AR$9,"fill=b"))</f>
        <v>NR</v>
      </c>
      <c r="AS64" s="150" t="str" cm="1">
        <f t="array" ref="AS64">IF(B64="","",_xll.BDP($B64,AS$9,"fill=b"))</f>
        <v/>
      </c>
      <c r="AT64" s="150" t="str" cm="1">
        <f t="array" ref="AT64">IF(B64="","",_xll.BDP($B64,AT$9,"fill=b"))</f>
        <v/>
      </c>
      <c r="AU64" s="258" t="str" cm="1">
        <f t="array" ref="AU64">IF(B64="","",_xll.BDP($B64,AU$9,"fill=b"))</f>
        <v>CPN = BZCLVLUE INDEX +605BPS.</v>
      </c>
    </row>
    <row r="65" spans="2:47" ht="15" x14ac:dyDescent="0.25">
      <c r="B65" s="232" t="s">
        <v>300</v>
      </c>
      <c r="C65" s="150" t="str" cm="1">
        <f t="array" ref="C65">IF(B65="","",_xll.BDP($B65,C$9,"fill=b"))</f>
        <v>IGTA14</v>
      </c>
      <c r="D65" s="150" t="str" cm="1">
        <f t="array" ref="D65">IF(B65="","",_xll.BDP($B65,D$9,"fill=b"))</f>
        <v>IGTABZ Float 02/15/20</v>
      </c>
      <c r="E65" s="150" t="str" cm="1">
        <f t="array" ref="E65">IF(B65="","",_xll.BDP($B65,E$9,"fill=b"))</f>
        <v>IGUATEMI EMPRESA DE SHOP</v>
      </c>
      <c r="F65" s="150" t="str" cm="1">
        <f t="array" ref="F65">IF(B65="","",IF(LEFT(_xlfn.SINGLE(_xll.BDP($B65,F$9,"fill=b")),1)="#","-",_xll.BDP($B65,F$9,"fill=b")))</f>
        <v>IGTI3 BZ</v>
      </c>
      <c r="G65" s="150" t="str" cm="1">
        <f t="array" ref="G65">IF(B65="","",_xll.BDP($B65,G$9,"fill=b"))</f>
        <v>BRAZIL DI+SPREAD</v>
      </c>
      <c r="H65" s="150" t="str" cm="1">
        <f t="array" ref="H65">IF(B65="","",_xll.BDP($B65,H$9,"fill=b"))</f>
        <v>OVRA BZDI +82.000</v>
      </c>
      <c r="I65" s="150" t="str" cm="1">
        <f t="array" ref="I65">IF(LEFT(_xlfn.SINGLE(_xll.BDP(B65,"REFERENCE_INDEX")),1)="#",IF(LEFT(_xlfn.SINGLE(_xll.BDP(B65, "RESET_IDX"))&amp;" Index",1)="#","",_xlfn.SINGLE(_xll.BDP(B65, "RESET_IDX"))&amp;" Index"),_xll.BDP(B65,"REFERENCE_INDEX"))</f>
        <v>BZDIOVRA Index</v>
      </c>
      <c r="J65" s="150" cm="1">
        <f t="array" ref="J65">IF(I65="BZDIOVRA Index",IF(_xlfn.SINGLE(_xll.BDP(B65,"FLT_SPREAD"))/100=0,_xll.BDP(B65,"FLT_BENCH_MULTIPLIER"),_xlfn.SINGLE(_xll.BDP(B65,"FLT_SPREAD"))/100),"")</f>
        <v>0.82</v>
      </c>
      <c r="K65" s="150" t="str" cm="1">
        <f t="array" ref="K65">IF(B65="","",IF(LEFT(_xlfn.SINGLE(_xll.BDP($B65,K$9,"fill=b")),1)="#","-",_xll.BDP($B65,K$9,"fill=b")))</f>
        <v>-</v>
      </c>
      <c r="L65" s="233"/>
      <c r="M65" s="234" t="e">
        <f t="shared" si="3"/>
        <v>#VALUE!</v>
      </c>
      <c r="N65" s="252" t="e">
        <f>IF(B65="","",IF(R65="",IF(OR(AD65="SINKABLE",AD65="CALL/SINK"),_xll.BDP(B65,$N$9,$M$9,M65,"PRICING SOURCE",$C$6,"FILL=B"),_xll.BDP(B65,$N$9,$M$9,M65,"PRICING SOURCE",$C$6,"FILL=B")),IF(OR(AD65="SINKABLE",AD65="CALL/SINK"),_xll.BDP(B65,$N$9,$Q$10,S65,$M$9,M65,"PRICING SOURCE",$C$6,"FILL=B"),_xll.BDP(B65,$N$9,$Q$9,S65,$M$9,M65,"PRICING SOURCE",$C$6,"FILL=B"))))</f>
        <v>#VALUE!</v>
      </c>
      <c r="O65" s="235"/>
      <c r="P65" s="236" t="e">
        <f t="shared" si="16"/>
        <v>#VALUE!</v>
      </c>
      <c r="Q65" s="166" t="str">
        <f>IF(ISERROR((IF(OR(AD65="SINKABLE",AD65="CALL/SINK"),_xll.BDP($B65,$Q$10,"fill=b","PRICING_SOURCE",$C$6,$AC65,$N$9,$P65,$M$9,$M65),_xll.BDP($B65,Q$9,"fill=b","PRICING_SOURCE",$C$6,$AC65,$N$9,$P65,$M$9,$M65)))*1),"",IF(OR(AD65="SINKABLE",AD65="CALL/SINK"),_xll.BDP($B65,$Q$10,"fill=b","PRICING_SOURCE",$C$6,$AC65,$N$9,$P65,$M$9,$M65),_xll.BDP($B65,Q$9,"fill=b","PRICING_SOURCE",$C$6,$AC65,$N$9,$P65,$M$9,$M65)))</f>
        <v/>
      </c>
      <c r="R65" s="237"/>
      <c r="S65" s="238" t="str">
        <f t="shared" si="17"/>
        <v/>
      </c>
      <c r="T65" s="239" cm="1">
        <f t="array" ref="T65">IF(ISERROR((_xlfn.SINGLE(IF(OR(AD65="SINKABLE",AD65="CALL/SINK"),_xll.BDP($B65,$Q$10,"fill=b","PRICING_SOURCE",$C$6,$AC65,$M$9,$U65,"px ask",$AE65),_xll.BDP($B65,Q$9,"fill=b","PRICING_SOURCE",$C$6,$AC65,$M$9,$U65,"px ask",$AE65))))*1),"",IF(OR(AD65="SINKABLE",AD65="CALL/SINK"),_xll.BDP($B65,$Q$10,"fill=b","PRICING_SOURCE",$C$6,$AC65,$M$9,$U65,"px ask",$AE65),_xll.BDP($B65,Q$9,"fill=b","PRICING_SOURCE",$C$6,$AC65,$M$9,$U65,"px ask",$AE65)))</f>
        <v>0.82811285939217161</v>
      </c>
      <c r="U65" s="240" t="str">
        <f t="shared" si="13"/>
        <v>20130215</v>
      </c>
      <c r="V65" s="254" t="e" cm="1">
        <f t="array" ref="V65">IF(B65="","",IF(I65="BZDIOVRA Index",IF(OR(AD65="SINKABLE",AD65="CALL/SINK"),_xll.BDP($B65,"PX_ASK",$Q$10,J65,$M$9,M65),_xll.BDP($B65,"PX_"&amp;$H$7,$Q$9,J65,$M$9,M65)),_xll.BDP($B65,"PX_"&amp;$H$7,$Q$9,_xll.BDP(B65,"CPN"),$M$9,M65)))</f>
        <v>#VALUE!</v>
      </c>
      <c r="W65" s="254" t="str">
        <f t="shared" si="14"/>
        <v/>
      </c>
      <c r="X65" s="166" t="e">
        <f>IF(B65="","",IF(OR(AD65="SINKABLE",AD65="CALL/SINK"),_xll.BDP($B65,X$9,"fill=b","PRICING_SOURCE",$C$6,$AC65,$M$9,$M65,$N$9,$P65,$Q$10,$S65),_xll.BDP($B65,X$9,"fill=b","PRICING_SOURCE",$C$6,$AC65,$M$9,$M65,$N$9,$P65,$Q$9,$S65)))</f>
        <v>#VALUE!</v>
      </c>
      <c r="Y65" s="166" t="e">
        <f>IF(B65="","",IF(OR(AD65="SINKABLE",AD65="CALL/SINK"),_xll.BDP($B65,Y$9,"fill=b","PRICING_SOURCE",$C$6,$AC65,$M$9,$M65,$N$9,$P65,$Q$10,$S65),_xll.BDP($B65,Y$9,"fill=b","PRICING_SOURCE",$C$6,$AC65,$M$9,$M65,$N$9,$P65,$Q$9,$S65)))</f>
        <v>#VALUE!</v>
      </c>
      <c r="Z65" s="255" t="e">
        <f>IF(B65="","",IF(OR(AD65="SINKABLE",AD65="CALL/SINK"),_xll.BDP($B65,Z$9,"fill=b","PRICING_SOURCE",$C$6,$AC65,$M$9,$M65,$N$9,$P65,$Q$10,$S65),_xll.BDP($B65,Z$9,"fill=b","PRICING_SOURCE",$C$6,$AC65,$M$9,$M65,$N$9,$P65,$Q$9,$S65)))</f>
        <v>#VALUE!</v>
      </c>
      <c r="AA65" s="166" t="e">
        <f>IF(B65="","",IF(OR(AD65="SINKABLE",AD65="CALL/SINK"),_xll.BDP($B65,AA$9,"fill=b","PRICING_SOURCE",$C$6,$AC65,$M$9,$M65,$N$9,$P65,$Q$10,$S65),_xll.BDP($B65,AA$9,"fill=b","PRICING_SOURCE",$C$6,$AC65,$M$9,$M65,$N$9,$P65,$Q$9,$S65)))</f>
        <v>#VALUE!</v>
      </c>
      <c r="AB65" s="150" t="str" cm="1">
        <f t="array" ref="AB65">IF(B65="","",IF(LEFT(_xlfn.SINGLE(_xll.BDP($B65,AB$9,"fill=b")),1)="#","-",_xll.BDP($B65,AB$9,"fill=b")))</f>
        <v>2/15/2020</v>
      </c>
      <c r="AC65" s="150" t="str">
        <f t="shared" si="18"/>
        <v>YLD FLAG=28</v>
      </c>
      <c r="AD65" s="150" t="str" cm="1">
        <f t="array" ref="AD65">IF(B65="","",_xll.BDP($B65,AD$9,"fill=b"))</f>
        <v>SINKABLE</v>
      </c>
      <c r="AE65" s="256" cm="1">
        <f t="array" ref="AE65">IF(B65="","",IF(ISERROR(_xlfn.SINGLE(_xll.BDH(B65,"PX LAST",AN65,AN65,"DAYS=ALL","PRICING SOURCE",$C$6))*1),_xll.BDP(B65,"PAR AMT"),_xll.BDH(B65,"PX LAST",AN65,AN65,"DAYS=ALL","PRICING SOURCE",$C$6)))</f>
        <v>5000</v>
      </c>
      <c r="AF65" s="150" cm="1">
        <f t="array" ref="AF65">IF(B65="","",_xll.BDP($B65,AF$9,"fill=b"))</f>
        <v>2.9688620999999999</v>
      </c>
      <c r="AG65" s="150"/>
      <c r="AH65" s="190">
        <f>IF(B65="","",IF($AD65="AT MATURITY",$AB65*1,_xll.BADDPERIODS(_xll.BDP($B65,"issue dt"),"numberofperiods",TRUNC(_xll.BDP($B65,"YRS_TO_LONGEST_AVG_LIFE","YLD_YTM_BID",AF65,"SETTLE_DT",U65,AC65),0),"per=y")+(ROUND(MOD(_xll.BDP(B65,"YRS_TO_LONGEST_AVG_LIFE","YLD_YTM_BID",AF65,"SETTLE_DT",U65,AC65),1)*360,0))))</f>
        <v>43691</v>
      </c>
      <c r="AI65" s="150" t="e" cm="1">
        <f t="array" ref="AI65">IF(B65="","",AF65-_xll.BInterpol(_xll.BDP(_xll.BDS("YCGT0372 Index","curve members","CURVE_DATE", $U65,"endcol=1","array=true"),"maturity")*1,_xll.BDH(_xll.BDS("YCGT0372 Index","curve members","CURVE_DATE", $U65,"endcol=1","array=true"),"yld cnv mid",$U65,$U65,"days=all"),AH65,"CUBIC","Extrapolate=LINEAR","SKIP=TRUE","SORT=TRUE","MultiX=Average"))</f>
        <v>#VALUE!</v>
      </c>
      <c r="AJ65" s="189">
        <f t="shared" si="15"/>
        <v>0.82</v>
      </c>
      <c r="AK65" s="257" t="str" cm="1">
        <f t="array" ref="AK65">IF(B65="","",_xll.BDP($B65,AK$9,"fill=b"))</f>
        <v>400MM</v>
      </c>
      <c r="AL65" s="257" t="str" cm="1">
        <f t="array" ref="AL65">IF(B65="","",_xll.BDP($B65,AL$9,"fill=b"))</f>
        <v>0</v>
      </c>
      <c r="AM65" s="256" cm="1">
        <f t="array" ref="AM65">IF(B65="","",_xll.BDP($B65,AM$9,"fill=b"))</f>
        <v>5000</v>
      </c>
      <c r="AN65" s="150" t="str" cm="1">
        <f t="array" ref="AN65">IF(B65="","",_xll.BDP($B65,AN$9,"fill=b"))</f>
        <v>2/15/2013</v>
      </c>
      <c r="AO65" s="150" t="str" cm="1">
        <f t="array" ref="AO65">IF(B65="","",IF(LEFT(_xlfn.SINGLE(_xll.BDP($B65,AO$9,"fill=b")),1)="#","-",_xll.BDP($B65,AO$9,"fill=b")))</f>
        <v>JOINT LEADS</v>
      </c>
      <c r="AP65" s="150" t="str" cm="1">
        <f t="array" ref="AP65">IF(B65="","",_xll.BDP($B65,AP$9,"fill=b"))</f>
        <v>Financial</v>
      </c>
      <c r="AQ65" s="150" t="str" cm="1">
        <f t="array" ref="AQ65">IF(B65="","",_xll.BDP($B65,AQ$9,"fill=b"))</f>
        <v>Real Estate</v>
      </c>
      <c r="AR65" s="150" t="str" cm="1">
        <f t="array" ref="AR65">IF(B65="","",_xll.BDP($B65,AR$9,"fill=b"))</f>
        <v/>
      </c>
      <c r="AS65" s="150" t="str" cm="1">
        <f t="array" ref="AS65">IF(B65="","",_xll.BDP($B65,AS$9,"fill=b"))</f>
        <v/>
      </c>
      <c r="AT65" s="150" t="str" cm="1">
        <f t="array" ref="AT65">IF(B65="","",_xll.BDP($B65,AT$9,"fill=b"))</f>
        <v>NR</v>
      </c>
      <c r="AU65" s="258" t="str" cm="1">
        <f t="array" ref="AU65">IF(B65="","",_xll.BDP($B65,AU$9,"fill=b"))</f>
        <v>CPN = BZDIOVRA INDEX + 82BPS</v>
      </c>
    </row>
    <row r="66" spans="2:47" ht="15" x14ac:dyDescent="0.25">
      <c r="B66" s="232" t="s">
        <v>323</v>
      </c>
      <c r="C66" s="150" t="str" cm="1">
        <f t="array" ref="C66">IF(B66="","",_xll.BDP($B66,C$9,"fill=b"))</f>
        <v>CMDT13</v>
      </c>
      <c r="D66" s="150" t="str" cm="1">
        <f t="array" ref="D66">IF(B66="","",_xll.BDP($B66,D$9,"fill=b"))</f>
        <v>CMIGBZ Float 02/15/18</v>
      </c>
      <c r="E66" s="150" t="str" cm="1">
        <f t="array" ref="E66">IF(B66="","",_xll.BDP($B66,E$9,"fill=b"))</f>
        <v>CEMIG DISTRIBUICAO SA</v>
      </c>
      <c r="F66" s="150" t="str" cm="1">
        <f t="array" ref="F66">IF(B66="","",IF(LEFT(_xlfn.SINGLE(_xll.BDP($B66,F$9,"fill=b")),1)="#","-",_xll.BDP($B66,F$9,"fill=b")))</f>
        <v>CMIG4 BZ</v>
      </c>
      <c r="G66" s="150" t="str" cm="1">
        <f t="array" ref="G66">IF(B66="","",_xll.BDP($B66,G$9,"fill=b"))</f>
        <v>BRAZIL DI+SPREAD</v>
      </c>
      <c r="H66" s="150" t="str" cm="1">
        <f t="array" ref="H66">IF(B66="","",_xll.BDP($B66,H$9,"fill=b"))</f>
        <v>OVRA BZDI +69.000</v>
      </c>
      <c r="I66" s="150" t="str" cm="1">
        <f t="array" ref="I66">IF(LEFT(_xlfn.SINGLE(_xll.BDP(B66,"REFERENCE_INDEX")),1)="#",IF(LEFT(_xlfn.SINGLE(_xll.BDP(B66, "RESET_IDX"))&amp;" Index",1)="#","",_xlfn.SINGLE(_xll.BDP(B66, "RESET_IDX"))&amp;" Index"),_xll.BDP(B66,"REFERENCE_INDEX"))</f>
        <v>BZDIOVRA Index</v>
      </c>
      <c r="J66" s="150" cm="1">
        <f t="array" ref="J66">IF(I66="BZDIOVRA Index",IF(_xlfn.SINGLE(_xll.BDP(B66,"FLT_SPREAD"))/100=0,_xll.BDP(B66,"FLT_BENCH_MULTIPLIER"),_xlfn.SINGLE(_xll.BDP(B66,"FLT_SPREAD"))/100),"")</f>
        <v>0.69</v>
      </c>
      <c r="K66" s="150" t="str" cm="1">
        <f t="array" ref="K66">IF(B66="","",IF(LEFT(_xlfn.SINGLE(_xll.BDP($B66,K$9,"fill=b")),1)="#","-",_xll.BDP($B66,K$9,"fill=b")))</f>
        <v>-</v>
      </c>
      <c r="L66" s="233"/>
      <c r="M66" s="234" t="e">
        <f t="shared" si="3"/>
        <v>#VALUE!</v>
      </c>
      <c r="N66" s="252" t="e">
        <f>IF(B66="","",IF(R66="",IF(OR(AD66="SINKABLE",AD66="CALL/SINK"),_xll.BDP(B66,$N$9,$M$9,M66,"PRICING SOURCE",$C$6,"FILL=B"),_xll.BDP(B66,$N$9,$M$9,M66,"PRICING SOURCE",$C$6,"FILL=B")),IF(OR(AD66="SINKABLE",AD66="CALL/SINK"),_xll.BDP(B66,$N$9,$Q$10,S66,$M$9,M66,"PRICING SOURCE",$C$6,"FILL=B"),_xll.BDP(B66,$N$9,$Q$9,S66,$M$9,M66,"PRICING SOURCE",$C$6,"FILL=B"))))</f>
        <v>#VALUE!</v>
      </c>
      <c r="O66" s="235"/>
      <c r="P66" s="236" t="e">
        <f t="shared" si="16"/>
        <v>#VALUE!</v>
      </c>
      <c r="Q66" s="166" t="str">
        <f>IF(ISERROR((IF(OR(AD66="SINKABLE",AD66="CALL/SINK"),_xll.BDP($B66,$Q$10,"fill=b","PRICING_SOURCE",$C$6,$AC66,$N$9,$P66,$M$9,$M66),_xll.BDP($B66,Q$9,"fill=b","PRICING_SOURCE",$C$6,$AC66,$N$9,$P66,$M$9,$M66)))*1),"",IF(OR(AD66="SINKABLE",AD66="CALL/SINK"),_xll.BDP($B66,$Q$10,"fill=b","PRICING_SOURCE",$C$6,$AC66,$N$9,$P66,$M$9,$M66),_xll.BDP($B66,Q$9,"fill=b","PRICING_SOURCE",$C$6,$AC66,$N$9,$P66,$M$9,$M66)))</f>
        <v/>
      </c>
      <c r="R66" s="237"/>
      <c r="S66" s="238" t="str">
        <f t="shared" si="17"/>
        <v/>
      </c>
      <c r="T66" s="239" cm="1">
        <f t="array" ref="T66">IF(ISERROR((_xlfn.SINGLE(IF(OR(AD66="SINKABLE",AD66="CALL/SINK"),_xll.BDP($B66,$Q$10,"fill=b","PRICING_SOURCE",$C$6,$AC66,$M$9,$U66,"px ask",$AE66),_xll.BDP($B66,Q$9,"fill=b","PRICING_SOURCE",$C$6,$AC66,$M$9,$U66,"px ask",$AE66))))*1),"",IF(OR(AD66="SINKABLE",AD66="CALL/SINK"),_xll.BDP($B66,$Q$10,"fill=b","PRICING_SOURCE",$C$6,$AC66,$M$9,$U66,"px ask",$AE66),_xll.BDP($B66,Q$9,"fill=b","PRICING_SOURCE",$C$6,$AC66,$M$9,$U66,"px ask",$AE66)))</f>
        <v>0.85438277860120893</v>
      </c>
      <c r="U66" s="240" t="str">
        <f t="shared" si="13"/>
        <v>20130311</v>
      </c>
      <c r="V66" s="254" t="e" cm="1">
        <f t="array" ref="V66">IF(B66="","",IF(I66="BZDIOVRA Index",IF(OR(AD66="SINKABLE",AD66="CALL/SINK"),_xll.BDP($B66,"PX_ASK",$Q$10,J66,$M$9,M66),_xll.BDP($B66,"PX_"&amp;$H$7,$Q$9,J66,$M$9,M66)),_xll.BDP($B66,"PX_"&amp;$H$7,$Q$9,_xll.BDP(B66,"CPN"),$M$9,M66)))</f>
        <v>#VALUE!</v>
      </c>
      <c r="W66" s="254" t="str">
        <f t="shared" si="14"/>
        <v/>
      </c>
      <c r="X66" s="166" t="e">
        <f>IF(B66="","",IF(OR(AD66="SINKABLE",AD66="CALL/SINK"),_xll.BDP($B66,X$9,"fill=b","PRICING_SOURCE",$C$6,$AC66,$M$9,$M66,$N$9,$P66,$Q$10,$S66),_xll.BDP($B66,X$9,"fill=b","PRICING_SOURCE",$C$6,$AC66,$M$9,$M66,$N$9,$P66,$Q$9,$S66)))</f>
        <v>#VALUE!</v>
      </c>
      <c r="Y66" s="166" t="e">
        <f>IF(B66="","",IF(OR(AD66="SINKABLE",AD66="CALL/SINK"),_xll.BDP($B66,Y$9,"fill=b","PRICING_SOURCE",$C$6,$AC66,$M$9,$M66,$N$9,$P66,$Q$10,$S66),_xll.BDP($B66,Y$9,"fill=b","PRICING_SOURCE",$C$6,$AC66,$M$9,$M66,$N$9,$P66,$Q$9,$S66)))</f>
        <v>#VALUE!</v>
      </c>
      <c r="Z66" s="255" t="e">
        <f>IF(B66="","",IF(OR(AD66="SINKABLE",AD66="CALL/SINK"),_xll.BDP($B66,Z$9,"fill=b","PRICING_SOURCE",$C$6,$AC66,$M$9,$M66,$N$9,$P66,$Q$10,$S66),_xll.BDP($B66,Z$9,"fill=b","PRICING_SOURCE",$C$6,$AC66,$M$9,$M66,$N$9,$P66,$Q$9,$S66)))</f>
        <v>#VALUE!</v>
      </c>
      <c r="AA66" s="166" t="e">
        <f>IF(B66="","",IF(OR(AD66="SINKABLE",AD66="CALL/SINK"),_xll.BDP($B66,AA$9,"fill=b","PRICING_SOURCE",$C$6,$AC66,$M$9,$M66,$N$9,$P66,$Q$10,$S66),_xll.BDP($B66,AA$9,"fill=b","PRICING_SOURCE",$C$6,$AC66,$M$9,$M66,$N$9,$P66,$Q$9,$S66)))</f>
        <v>#VALUE!</v>
      </c>
      <c r="AB66" s="150" t="str" cm="1">
        <f t="array" ref="AB66">IF(B66="","",IF(LEFT(_xlfn.SINGLE(_xll.BDP($B66,AB$9,"fill=b")),1)="#","-",_xll.BDP($B66,AB$9,"fill=b")))</f>
        <v>2/15/2018</v>
      </c>
      <c r="AC66" s="150" t="str">
        <f t="shared" si="18"/>
        <v>YLD FLAG=1</v>
      </c>
      <c r="AD66" s="150" t="str" cm="1">
        <f t="array" ref="AD66">IF(B66="","",_xll.BDP($B66,AD$9,"fill=b"))</f>
        <v>AT MATURITY</v>
      </c>
      <c r="AE66" s="256" cm="1">
        <f t="array" ref="AE66">IF(B66="","",IF(ISERROR(_xlfn.SINGLE(_xll.BDH(B66,"PX LAST",AN66,AN66,"DAYS=ALL","PRICING SOURCE",$C$6))*1),_xll.BDP(B66,"PAR AMT"),_xll.BDH(B66,"PX LAST",AN66,AN66,"DAYS=ALL","PRICING SOURCE",$C$6)))</f>
        <v>1000</v>
      </c>
      <c r="AF66" s="150" cm="1">
        <f t="array" ref="AF66">IF(B66="","",_xll.BDP($B66,AF$9,"fill=b"))</f>
        <v>9.8209993999999998</v>
      </c>
      <c r="AG66" s="150"/>
      <c r="AH66" s="190">
        <f>IF(B66="","",IF($AD66="AT MATURITY",$AB66*1,_xll.BADDPERIODS(_xll.BDP($B66,"issue dt"),"numberofperiods",TRUNC(_xll.BDP($B66,"YRS_TO_LONGEST_AVG_LIFE","YLD_YTM_BID",AF66,"SETTLE_DT",U66,AC66),0),"per=y")+(ROUND(MOD(_xll.BDP(B66,"YRS_TO_LONGEST_AVG_LIFE","YLD_YTM_BID",AF66,"SETTLE_DT",U66,AC66),1)*360,0))))</f>
        <v>43146</v>
      </c>
      <c r="AI66" s="150" t="e" cm="1">
        <f t="array" ref="AI66">IF(B66="","",AF66-_xll.BInterpol(_xll.BDP(_xll.BDS("YCGT0372 Index","curve members","CURVE_DATE", $U66,"endcol=1","array=true"),"maturity")*1,_xll.BDH(_xll.BDS("YCGT0372 Index","curve members","CURVE_DATE", $U66,"endcol=1","array=true"),"yld cnv mid",$U66,$U66,"days=all"),AH66,"CUBIC","Extrapolate=LINEAR","SKIP=TRUE","SORT=TRUE","MultiX=Average"))</f>
        <v>#VALUE!</v>
      </c>
      <c r="AJ66" s="189">
        <f t="shared" si="15"/>
        <v>0.69</v>
      </c>
      <c r="AK66" s="257" t="str" cm="1">
        <f t="array" ref="AK66">IF(B66="","",_xll.BDP($B66,AK$9,"fill=b"))</f>
        <v>410.817MM</v>
      </c>
      <c r="AL66" s="257" t="str" cm="1">
        <f t="array" ref="AL66">IF(B66="","",_xll.BDP($B66,AL$9,"fill=b"))</f>
        <v>0</v>
      </c>
      <c r="AM66" s="256" cm="1">
        <f t="array" ref="AM66">IF(B66="","",_xll.BDP($B66,AM$9,"fill=b"))</f>
        <v>1000</v>
      </c>
      <c r="AN66" s="150" t="str" cm="1">
        <f t="array" ref="AN66">IF(B66="","",_xll.BDP($B66,AN$9,"fill=b"))</f>
        <v>3/11/2013</v>
      </c>
      <c r="AO66" s="150" t="str" cm="1">
        <f t="array" ref="AO66">IF(B66="","",IF(LEFT(_xlfn.SINGLE(_xll.BDP($B66,AO$9,"fill=b")),1)="#","-",_xll.BDP($B66,AO$9,"fill=b")))</f>
        <v>JOINT LEADS</v>
      </c>
      <c r="AP66" s="150" t="str" cm="1">
        <f t="array" ref="AP66">IF(B66="","",_xll.BDP($B66,AP$9,"fill=b"))</f>
        <v>Utilities</v>
      </c>
      <c r="AQ66" s="150" t="str" cm="1">
        <f t="array" ref="AQ66">IF(B66="","",_xll.BDP($B66,AQ$9,"fill=b"))</f>
        <v>Electric</v>
      </c>
      <c r="AR66" s="150" t="str" cm="1">
        <f t="array" ref="AR66">IF(B66="","",_xll.BDP($B66,AR$9,"fill=b"))</f>
        <v/>
      </c>
      <c r="AS66" s="150" t="str" cm="1">
        <f t="array" ref="AS66">IF(B66="","",_xll.BDP($B66,AS$9,"fill=b"))</f>
        <v>WR</v>
      </c>
      <c r="AT66" s="150" t="str" cm="1">
        <f t="array" ref="AT66">IF(B66="","",_xll.BDP($B66,AT$9,"fill=b"))</f>
        <v/>
      </c>
      <c r="AU66" s="258" t="str" cm="1">
        <f t="array" ref="AU66">IF(B66="","",_xll.BDP($B66,AU$9,"fill=b"))</f>
        <v>CPN = BZDIOVRA INDEX + 69BPS.</v>
      </c>
    </row>
    <row r="67" spans="2:47" ht="15" x14ac:dyDescent="0.25">
      <c r="B67" s="232" t="s">
        <v>320</v>
      </c>
      <c r="C67" s="150" t="str" cm="1">
        <f t="array" ref="C67">IF(B67="","",_xll.BDP($B67,C$9,"fill=b"))</f>
        <v>TSAE12</v>
      </c>
      <c r="D67" s="150" t="str" cm="1">
        <f t="array" ref="D67">IF(B67="","",_xll.BDP($B67,D$9,"fill=b"))</f>
        <v>TRISOL Float 04/15/20</v>
      </c>
      <c r="E67" s="150" t="str" cm="1">
        <f t="array" ref="E67">IF(B67="","",_xll.BDP($B67,E$9,"fill=b"))</f>
        <v>TRIANGULO DO SOL AUT-EST</v>
      </c>
      <c r="F67" s="150" t="str" cm="1">
        <f t="array" ref="F67">IF(B67="","",IF(LEFT(_xlfn.SINGLE(_xll.BDP($B67,F$9,"fill=b")),1)="#","-",_xll.BDP($B67,F$9,"fill=b")))</f>
        <v>3284233Z IM</v>
      </c>
      <c r="G67" s="150" t="str" cm="1">
        <f t="array" ref="G67">IF(B67="","",_xll.BDP($B67,G$9,"fill=b"))</f>
        <v>BRAZIL DI+SPREAD</v>
      </c>
      <c r="H67" s="150" t="str" cm="1">
        <f t="array" ref="H67">IF(B67="","",_xll.BDP($B67,H$9,"fill=b"))</f>
        <v>OVRA BZDI +225.000</v>
      </c>
      <c r="I67" s="150" t="str" cm="1">
        <f t="array" ref="I67">IF(LEFT(_xlfn.SINGLE(_xll.BDP(B67,"REFERENCE_INDEX")),1)="#",IF(LEFT(_xlfn.SINGLE(_xll.BDP(B67, "RESET_IDX"))&amp;" Index",1)="#","",_xlfn.SINGLE(_xll.BDP(B67, "RESET_IDX"))&amp;" Index"),_xll.BDP(B67,"REFERENCE_INDEX"))</f>
        <v>BZDIOVRA Index</v>
      </c>
      <c r="J67" s="150" cm="1">
        <f t="array" ref="J67">IF(I67="BZDIOVRA Index",IF(_xlfn.SINGLE(_xll.BDP(B67,"FLT_SPREAD"))/100=0,_xll.BDP(B67,"FLT_BENCH_MULTIPLIER"),_xlfn.SINGLE(_xll.BDP(B67,"FLT_SPREAD"))/100),"")</f>
        <v>2.25</v>
      </c>
      <c r="K67" s="150" t="str" cm="1">
        <f t="array" ref="K67">IF(B67="","",IF(LEFT(_xlfn.SINGLE(_xll.BDP($B67,K$9,"fill=b")),1)="#","-",_xll.BDP($B67,K$9,"fill=b")))</f>
        <v>-</v>
      </c>
      <c r="L67" s="233"/>
      <c r="M67" s="234" t="e">
        <f t="shared" si="3"/>
        <v>#VALUE!</v>
      </c>
      <c r="N67" s="252" t="e">
        <f>IF(B67="","",IF(R67="",IF(OR(AD67="SINKABLE",AD67="CALL/SINK"),_xll.BDP(B67,$N$9,$M$9,M67,"PRICING SOURCE",$C$6,"FILL=B"),_xll.BDP(B67,$N$9,$M$9,M67,"PRICING SOURCE",$C$6,"FILL=B")),IF(OR(AD67="SINKABLE",AD67="CALL/SINK"),_xll.BDP(B67,$N$9,$Q$10,S67,$M$9,M67,"PRICING SOURCE",$C$6,"FILL=B"),_xll.BDP(B67,$N$9,$Q$9,S67,$M$9,M67,"PRICING SOURCE",$C$6,"FILL=B"))))</f>
        <v>#VALUE!</v>
      </c>
      <c r="O67" s="235"/>
      <c r="P67" s="236" t="e">
        <f t="shared" si="16"/>
        <v>#VALUE!</v>
      </c>
      <c r="Q67" s="166" t="str">
        <f>IF(ISERROR((IF(OR(AD67="SINKABLE",AD67="CALL/SINK"),_xll.BDP($B67,$Q$10,"fill=b","PRICING_SOURCE",$C$6,$AC67,$N$9,$P67,$M$9,$M67),_xll.BDP($B67,Q$9,"fill=b","PRICING_SOURCE",$C$6,$AC67,$N$9,$P67,$M$9,$M67)))*1),"",IF(OR(AD67="SINKABLE",AD67="CALL/SINK"),_xll.BDP($B67,$Q$10,"fill=b","PRICING_SOURCE",$C$6,$AC67,$N$9,$P67,$M$9,$M67),_xll.BDP($B67,Q$9,"fill=b","PRICING_SOURCE",$C$6,$AC67,$N$9,$P67,$M$9,$M67)))</f>
        <v/>
      </c>
      <c r="R67" s="237"/>
      <c r="S67" s="238" t="str">
        <f t="shared" si="17"/>
        <v/>
      </c>
      <c r="T67" s="239" cm="1">
        <f t="array" ref="T67">IF(ISERROR((_xlfn.SINGLE(IF(OR(AD67="SINKABLE",AD67="CALL/SINK"),_xll.BDP($B67,$Q$10,"fill=b","PRICING_SOURCE",$C$6,$AC67,$M$9,$U67,"px ask",$AE67),_xll.BDP($B67,Q$9,"fill=b","PRICING_SOURCE",$C$6,$AC67,$M$9,$U67,"px ask",$AE67))))*1),"",IF(OR(AD67="SINKABLE",AD67="CALL/SINK"),_xll.BDP($B67,$Q$10,"fill=b","PRICING_SOURCE",$C$6,$AC67,$M$9,$U67,"px ask",$AE67),_xll.BDP($B67,Q$9,"fill=b","PRICING_SOURCE",$C$6,$AC67,$M$9,$U67,"px ask",$AE67)))</f>
        <v>2.3579302612081854</v>
      </c>
      <c r="U67" s="240" t="str">
        <f t="shared" si="13"/>
        <v>20130226</v>
      </c>
      <c r="V67" s="254" t="e" cm="1">
        <f t="array" ref="V67">IF(B67="","",IF(I67="BZDIOVRA Index",IF(OR(AD67="SINKABLE",AD67="CALL/SINK"),_xll.BDP($B67,"PX_ASK",$Q$10,J67,$M$9,M67),_xll.BDP($B67,"PX_"&amp;$H$7,$Q$9,J67,$M$9,M67)),_xll.BDP($B67,"PX_"&amp;$H$7,$Q$9,_xll.BDP(B67,"CPN"),$M$9,M67)))</f>
        <v>#VALUE!</v>
      </c>
      <c r="W67" s="254" t="str">
        <f t="shared" si="14"/>
        <v/>
      </c>
      <c r="X67" s="166" t="e">
        <f>IF(B67="","",IF(OR(AD67="SINKABLE",AD67="CALL/SINK"),_xll.BDP($B67,X$9,"fill=b","PRICING_SOURCE",$C$6,$AC67,$M$9,$M67,$N$9,$P67,$Q$10,$S67),_xll.BDP($B67,X$9,"fill=b","PRICING_SOURCE",$C$6,$AC67,$M$9,$M67,$N$9,$P67,$Q$9,$S67)))</f>
        <v>#VALUE!</v>
      </c>
      <c r="Y67" s="166" t="e">
        <f>IF(B67="","",IF(OR(AD67="SINKABLE",AD67="CALL/SINK"),_xll.BDP($B67,Y$9,"fill=b","PRICING_SOURCE",$C$6,$AC67,$M$9,$M67,$N$9,$P67,$Q$10,$S67),_xll.BDP($B67,Y$9,"fill=b","PRICING_SOURCE",$C$6,$AC67,$M$9,$M67,$N$9,$P67,$Q$9,$S67)))</f>
        <v>#VALUE!</v>
      </c>
      <c r="Z67" s="255" t="e">
        <f>IF(B67="","",IF(OR(AD67="SINKABLE",AD67="CALL/SINK"),_xll.BDP($B67,Z$9,"fill=b","PRICING_SOURCE",$C$6,$AC67,$M$9,$M67,$N$9,$P67,$Q$10,$S67),_xll.BDP($B67,Z$9,"fill=b","PRICING_SOURCE",$C$6,$AC67,$M$9,$M67,$N$9,$P67,$Q$9,$S67)))</f>
        <v>#VALUE!</v>
      </c>
      <c r="AA67" s="166" t="e">
        <f>IF(B67="","",IF(OR(AD67="SINKABLE",AD67="CALL/SINK"),_xll.BDP($B67,AA$9,"fill=b","PRICING_SOURCE",$C$6,$AC67,$M$9,$M67,$N$9,$P67,$Q$10,$S67),_xll.BDP($B67,AA$9,"fill=b","PRICING_SOURCE",$C$6,$AC67,$M$9,$M67,$N$9,$P67,$Q$9,$S67)))</f>
        <v>#VALUE!</v>
      </c>
      <c r="AB67" s="150" t="str" cm="1">
        <f t="array" ref="AB67">IF(B67="","",IF(LEFT(_xlfn.SINGLE(_xll.BDP($B67,AB$9,"fill=b")),1)="#","-",_xll.BDP($B67,AB$9,"fill=b")))</f>
        <v>4/15/2020</v>
      </c>
      <c r="AC67" s="150" t="str">
        <f t="shared" si="18"/>
        <v>YLD FLAG=28</v>
      </c>
      <c r="AD67" s="150" t="str" cm="1">
        <f t="array" ref="AD67">IF(B67="","",_xll.BDP($B67,AD$9,"fill=b"))</f>
        <v>CALL/SINK</v>
      </c>
      <c r="AE67" s="256" cm="1">
        <f t="array" ref="AE67">IF(B67="","",IF(ISERROR(_xlfn.SINGLE(_xll.BDH(B67,"PX LAST",AN67,AN67,"DAYS=ALL","PRICING SOURCE",$C$6))*1),_xll.BDP(B67,"PAR AMT"),_xll.BDH(B67,"PX LAST",AN67,AN67,"DAYS=ALL","PRICING SOURCE",$C$6)))</f>
        <v>1450</v>
      </c>
      <c r="AF67" s="150" cm="1">
        <f t="array" ref="AF67">IF(B67="","",_xll.BDP($B67,AF$9,"fill=b"))</f>
        <v>3.3156267590000001</v>
      </c>
      <c r="AG67" s="150"/>
      <c r="AH67" s="190">
        <f>IF(B67="","",IF($AD67="AT MATURITY",$AB67*1,_xll.BADDPERIODS(_xll.BDP($B67,"issue dt"),"numberofperiods",TRUNC(_xll.BDP($B67,"YRS_TO_LONGEST_AVG_LIFE","YLD_YTM_BID",AF67,"SETTLE_DT",U67,AC67),0),"per=y")+(ROUND(MOD(_xll.BDP(B67,"YRS_TO_LONGEST_AVG_LIFE","YLD_YTM_BID",AF67,"SETTLE_DT",U67,AC67),1)*360,0))))</f>
        <v>43043</v>
      </c>
      <c r="AI67" s="150" t="e" cm="1">
        <f t="array" ref="AI67">IF(B67="","",AF67-_xll.BInterpol(_xll.BDP(_xll.BDS("YCGT0372 Index","curve members","CURVE_DATE", $U67,"endcol=1","array=true"),"maturity")*1,_xll.BDH(_xll.BDS("YCGT0372 Index","curve members","CURVE_DATE", $U67,"endcol=1","array=true"),"yld cnv mid",$U67,$U67,"days=all"),AH67,"CUBIC","Extrapolate=LINEAR","SKIP=TRUE","SORT=TRUE","MultiX=Average"))</f>
        <v>#VALUE!</v>
      </c>
      <c r="AJ67" s="189">
        <f t="shared" si="15"/>
        <v>2.25</v>
      </c>
      <c r="AK67" s="257" t="str" cm="1">
        <f t="array" ref="AK67">IF(B67="","",_xll.BDP($B67,AK$9,"fill=b"))</f>
        <v>324.02MM</v>
      </c>
      <c r="AL67" s="257" t="str" cm="1">
        <f t="array" ref="AL67">IF(B67="","",_xll.BDP($B67,AL$9,"fill=b"))</f>
        <v>0</v>
      </c>
      <c r="AM67" s="256" cm="1">
        <f t="array" ref="AM67">IF(B67="","",_xll.BDP($B67,AM$9,"fill=b"))</f>
        <v>1450</v>
      </c>
      <c r="AN67" s="150" t="str" cm="1">
        <f t="array" ref="AN67">IF(B67="","",_xll.BDP($B67,AN$9,"fill=b"))</f>
        <v>2/26/2013</v>
      </c>
      <c r="AO67" s="150" t="str" cm="1">
        <f t="array" ref="AO67">IF(B67="","",IF(LEFT(_xlfn.SINGLE(_xll.BDP($B67,AO$9,"fill=b")),1)="#","-",_xll.BDP($B67,AO$9,"fill=b")))</f>
        <v>JOINT LEADS</v>
      </c>
      <c r="AP67" s="150" t="str" cm="1">
        <f t="array" ref="AP67">IF(B67="","",_xll.BDP($B67,AP$9,"fill=b"))</f>
        <v>Industrial</v>
      </c>
      <c r="AQ67" s="150" t="str" cm="1">
        <f t="array" ref="AQ67">IF(B67="","",_xll.BDP($B67,AQ$9,"fill=b"))</f>
        <v>Engineering&amp;Construction</v>
      </c>
      <c r="AR67" s="150" t="str" cm="1">
        <f t="array" ref="AR67">IF(B67="","",_xll.BDP($B67,AR$9,"fill=b"))</f>
        <v>NR</v>
      </c>
      <c r="AS67" s="150" t="str" cm="1">
        <f t="array" ref="AS67">IF(B67="","",_xll.BDP($B67,AS$9,"fill=b"))</f>
        <v>WR</v>
      </c>
      <c r="AT67" s="150" t="str" cm="1">
        <f t="array" ref="AT67">IF(B67="","",_xll.BDP($B67,AT$9,"fill=b"))</f>
        <v>WD</v>
      </c>
      <c r="AU67" s="258" t="str" cm="1">
        <f t="array" ref="AU67">IF(B67="","",_xll.BDP($B67,AU$9,"fill=b"))</f>
        <v>CPN = BZDIOVRA + 225 BPS.</v>
      </c>
    </row>
    <row r="68" spans="2:47" ht="15" x14ac:dyDescent="0.25">
      <c r="B68" s="232" t="s">
        <v>305</v>
      </c>
      <c r="C68" s="150" t="str" cm="1">
        <f t="array" ref="C68">IF(B68="","",_xll.BDP($B68,C$9,"fill=b"))</f>
        <v>UNDA13</v>
      </c>
      <c r="D68" s="150" t="str" cm="1">
        <f t="array" ref="D68">IF(B68="","",_xll.BDP($B68,D$9,"fill=b"))</f>
        <v>SVAPL Float 03/11/18</v>
      </c>
      <c r="E68" s="150" t="str" cm="1">
        <f t="array" ref="E68">IF(B68="","",_xll.BDP($B68,E$9,"fill=b"))</f>
        <v>UNIDAS SA</v>
      </c>
      <c r="F68" s="150" t="str" cm="1">
        <f t="array" ref="F68">IF(B68="","",IF(LEFT(_xlfn.SINGLE(_xll.BDP($B68,F$9,"fill=b")),1)="#","-",_xll.BDP($B68,F$9,"fill=b")))</f>
        <v>RENT3 BZ</v>
      </c>
      <c r="G68" s="150" t="str" cm="1">
        <f t="array" ref="G68">IF(B68="","",_xll.BDP($B68,G$9,"fill=b"))</f>
        <v>BRAZIL DI+SPREAD</v>
      </c>
      <c r="H68" s="150" t="str" cm="1">
        <f t="array" ref="H68">IF(B68="","",_xll.BDP($B68,H$9,"fill=b"))</f>
        <v>OVRA BZDI +180.000</v>
      </c>
      <c r="I68" s="150" t="str" cm="1">
        <f t="array" ref="I68">IF(LEFT(_xlfn.SINGLE(_xll.BDP(B68,"REFERENCE_INDEX")),1)="#",IF(LEFT(_xlfn.SINGLE(_xll.BDP(B68, "RESET_IDX"))&amp;" Index",1)="#","",_xlfn.SINGLE(_xll.BDP(B68, "RESET_IDX"))&amp;" Index"),_xll.BDP(B68,"REFERENCE_INDEX"))</f>
        <v>BZDIOVRA Index</v>
      </c>
      <c r="J68" s="150" cm="1">
        <f t="array" ref="J68">IF(I68="BZDIOVRA Index",IF(_xlfn.SINGLE(_xll.BDP(B68,"FLT_SPREAD"))/100=0,_xll.BDP(B68,"FLT_BENCH_MULTIPLIER"),_xlfn.SINGLE(_xll.BDP(B68,"FLT_SPREAD"))/100),"")</f>
        <v>1.8</v>
      </c>
      <c r="K68" s="150" t="str" cm="1">
        <f t="array" ref="K68">IF(B68="","",IF(LEFT(_xlfn.SINGLE(_xll.BDP($B68,K$9,"fill=b")),1)="#","-",_xll.BDP($B68,K$9,"fill=b")))</f>
        <v>-</v>
      </c>
      <c r="L68" s="233"/>
      <c r="M68" s="234" t="e">
        <f t="shared" si="3"/>
        <v>#VALUE!</v>
      </c>
      <c r="N68" s="252" t="e">
        <f>IF(B68="","",IF(R68="",IF(OR(AD68="SINKABLE",AD68="CALL/SINK"),_xll.BDP(B68,$N$9,$M$9,M68,"PRICING SOURCE",$C$6,"FILL=B"),_xll.BDP(B68,$N$9,$M$9,M68,"PRICING SOURCE",$C$6,"FILL=B")),IF(OR(AD68="SINKABLE",AD68="CALL/SINK"),_xll.BDP(B68,$N$9,$Q$10,S68,$M$9,M68,"PRICING SOURCE",$C$6,"FILL=B"),_xll.BDP(B68,$N$9,$Q$9,S68,$M$9,M68,"PRICING SOURCE",$C$6,"FILL=B"))))</f>
        <v>#VALUE!</v>
      </c>
      <c r="O68" s="235"/>
      <c r="P68" s="236" t="e">
        <f t="shared" si="16"/>
        <v>#VALUE!</v>
      </c>
      <c r="Q68" s="166" t="str">
        <f>IF(ISERROR((IF(OR(AD68="SINKABLE",AD68="CALL/SINK"),_xll.BDP($B68,$Q$10,"fill=b","PRICING_SOURCE",$C$6,$AC68,$N$9,$P68,$M$9,$M68),_xll.BDP($B68,Q$9,"fill=b","PRICING_SOURCE",$C$6,$AC68,$N$9,$P68,$M$9,$M68)))*1),"",IF(OR(AD68="SINKABLE",AD68="CALL/SINK"),_xll.BDP($B68,$Q$10,"fill=b","PRICING_SOURCE",$C$6,$AC68,$N$9,$P68,$M$9,$M68),_xll.BDP($B68,Q$9,"fill=b","PRICING_SOURCE",$C$6,$AC68,$N$9,$P68,$M$9,$M68)))</f>
        <v/>
      </c>
      <c r="R68" s="237"/>
      <c r="S68" s="238" t="str">
        <f t="shared" si="17"/>
        <v/>
      </c>
      <c r="T68" s="239" cm="1">
        <f t="array" ref="T68">IF(ISERROR((_xlfn.SINGLE(IF(OR(AD68="SINKABLE",AD68="CALL/SINK"),_xll.BDP($B68,$Q$10,"fill=b","PRICING_SOURCE",$C$6,$AC68,$M$9,$U68,"px ask",$AE68),_xll.BDP($B68,Q$9,"fill=b","PRICING_SOURCE",$C$6,$AC68,$M$9,$U68,"px ask",$AE68))))*1),"",IF(OR(AD68="SINKABLE",AD68="CALL/SINK"),_xll.BDP($B68,$Q$10,"fill=b","PRICING_SOURCE",$C$6,$AC68,$M$9,$U68,"px ask",$AE68),_xll.BDP($B68,Q$9,"fill=b","PRICING_SOURCE",$C$6,$AC68,$M$9,$U68,"px ask",$AE68)))</f>
        <v>130.90489224139566</v>
      </c>
      <c r="U68" s="240" t="str">
        <f t="shared" si="13"/>
        <v>20130327</v>
      </c>
      <c r="V68" s="254" t="e" cm="1">
        <f t="array" ref="V68">IF(B68="","",IF(I68="BZDIOVRA Index",IF(OR(AD68="SINKABLE",AD68="CALL/SINK"),_xll.BDP($B68,"PX_ASK",$Q$10,J68,$M$9,M68),_xll.BDP($B68,"PX_"&amp;$H$7,$Q$9,J68,$M$9,M68)),_xll.BDP($B68,"PX_"&amp;$H$7,$Q$9,_xll.BDP(B68,"CPN"),$M$9,M68)))</f>
        <v>#VALUE!</v>
      </c>
      <c r="W68" s="254" t="str">
        <f t="shared" si="14"/>
        <v/>
      </c>
      <c r="X68" s="166" t="e">
        <f>IF(B68="","",IF(OR(AD68="SINKABLE",AD68="CALL/SINK"),_xll.BDP($B68,X$9,"fill=b","PRICING_SOURCE",$C$6,$AC68,$M$9,$M68,$N$9,$P68,$Q$10,$S68),_xll.BDP($B68,X$9,"fill=b","PRICING_SOURCE",$C$6,$AC68,$M$9,$M68,$N$9,$P68,$Q$9,$S68)))</f>
        <v>#VALUE!</v>
      </c>
      <c r="Y68" s="166" t="e">
        <f>IF(B68="","",IF(OR(AD68="SINKABLE",AD68="CALL/SINK"),_xll.BDP($B68,Y$9,"fill=b","PRICING_SOURCE",$C$6,$AC68,$M$9,$M68,$N$9,$P68,$Q$10,$S68),_xll.BDP($B68,Y$9,"fill=b","PRICING_SOURCE",$C$6,$AC68,$M$9,$M68,$N$9,$P68,$Q$9,$S68)))</f>
        <v>#VALUE!</v>
      </c>
      <c r="Z68" s="255" t="e">
        <f>IF(B68="","",IF(OR(AD68="SINKABLE",AD68="CALL/SINK"),_xll.BDP($B68,Z$9,"fill=b","PRICING_SOURCE",$C$6,$AC68,$M$9,$M68,$N$9,$P68,$Q$10,$S68),_xll.BDP($B68,Z$9,"fill=b","PRICING_SOURCE",$C$6,$AC68,$M$9,$M68,$N$9,$P68,$Q$9,$S68)))</f>
        <v>#VALUE!</v>
      </c>
      <c r="AA68" s="166" t="e">
        <f>IF(B68="","",IF(OR(AD68="SINKABLE",AD68="CALL/SINK"),_xll.BDP($B68,AA$9,"fill=b","PRICING_SOURCE",$C$6,$AC68,$M$9,$M68,$N$9,$P68,$Q$10,$S68),_xll.BDP($B68,AA$9,"fill=b","PRICING_SOURCE",$C$6,$AC68,$M$9,$M68,$N$9,$P68,$Q$9,$S68)))</f>
        <v>#VALUE!</v>
      </c>
      <c r="AB68" s="150" t="str" cm="1">
        <f t="array" ref="AB68">IF(B68="","",IF(LEFT(_xlfn.SINGLE(_xll.BDP($B68,AB$9,"fill=b")),1)="#","-",_xll.BDP($B68,AB$9,"fill=b")))</f>
        <v>3/11/2018</v>
      </c>
      <c r="AC68" s="150" t="str">
        <f t="shared" si="18"/>
        <v>YLD FLAG=28</v>
      </c>
      <c r="AD68" s="150" t="str" cm="1">
        <f t="array" ref="AD68">IF(B68="","",_xll.BDP($B68,AD$9,"fill=b"))</f>
        <v>SINKABLE</v>
      </c>
      <c r="AE68" s="256" cm="1">
        <f t="array" ref="AE68">IF(B68="","",IF(ISERROR(_xlfn.SINGLE(_xll.BDH(B68,"PX LAST",AN68,AN68,"DAYS=ALL","PRICING SOURCE",$C$6))*1),_xll.BDP(B68,"PAR AMT"),_xll.BDH(B68,"PX LAST",AN68,AN68,"DAYS=ALL","PRICING SOURCE",$C$6)))</f>
        <v>1432</v>
      </c>
      <c r="AF68" s="150" cm="1">
        <f t="array" ref="AF68">IF(B68="","",_xll.BDP($B68,AF$9,"fill=b"))</f>
        <v>4.3978027234599999</v>
      </c>
      <c r="AG68" s="150"/>
      <c r="AH68" s="190">
        <f>IF(B68="","",IF($AD68="AT MATURITY",$AB68*1,_xll.BADDPERIODS(_xll.BDP($B68,"issue dt"),"numberofperiods",TRUNC(_xll.BDP($B68,"YRS_TO_LONGEST_AVG_LIFE","YLD_YTM_BID",AF68,"SETTLE_DT",U68,AC68),0),"per=y")+(ROUND(MOD(_xll.BDP(B68,"YRS_TO_LONGEST_AVG_LIFE","YLD_YTM_BID",AF68,"SETTLE_DT",U68,AC68),1)*360,0))))</f>
        <v>42623</v>
      </c>
      <c r="AI68" s="150" t="e" cm="1">
        <f t="array" ref="AI68">IF(B68="","",AF68-_xll.BInterpol(_xll.BDP(_xll.BDS("YCGT0372 Index","curve members","CURVE_DATE", $U68,"endcol=1","array=true"),"maturity")*1,_xll.BDH(_xll.BDS("YCGT0372 Index","curve members","CURVE_DATE", $U68,"endcol=1","array=true"),"yld cnv mid",$U68,$U68,"days=all"),AH68,"CUBIC","Extrapolate=LINEAR","SKIP=TRUE","SORT=TRUE","MultiX=Average"))</f>
        <v>#VALUE!</v>
      </c>
      <c r="AJ68" s="189">
        <f t="shared" si="15"/>
        <v>1.8</v>
      </c>
      <c r="AK68" s="257" t="str" cm="1">
        <f t="array" ref="AK68">IF(B68="","",_xll.BDP($B68,AK$9,"fill=b"))</f>
        <v>120MM</v>
      </c>
      <c r="AL68" s="257" t="str" cm="1">
        <f t="array" ref="AL68">IF(B68="","",_xll.BDP($B68,AL$9,"fill=b"))</f>
        <v>0</v>
      </c>
      <c r="AM68" s="256" cm="1">
        <f t="array" ref="AM68">IF(B68="","",_xll.BDP($B68,AM$9,"fill=b"))</f>
        <v>1432</v>
      </c>
      <c r="AN68" s="150" t="str" cm="1">
        <f t="array" ref="AN68">IF(B68="","",_xll.BDP($B68,AN$9,"fill=b"))</f>
        <v>3/27/2013</v>
      </c>
      <c r="AO68" s="150" t="str" cm="1">
        <f t="array" ref="AO68">IF(B68="","",IF(LEFT(_xlfn.SINGLE(_xll.BDP($B68,AO$9,"fill=b")),1)="#","-",_xll.BDP($B68,AO$9,"fill=b")))</f>
        <v>BESINV</v>
      </c>
      <c r="AP68" s="150" t="str" cm="1">
        <f t="array" ref="AP68">IF(B68="","",_xll.BDP($B68,AP$9,"fill=b"))</f>
        <v>Consumer, Non-cyclical</v>
      </c>
      <c r="AQ68" s="150" t="str" cm="1">
        <f t="array" ref="AQ68">IF(B68="","",_xll.BDP($B68,AQ$9,"fill=b"))</f>
        <v>Commercial Services</v>
      </c>
      <c r="AR68" s="150" t="str" cm="1">
        <f t="array" ref="AR68">IF(B68="","",_xll.BDP($B68,AR$9,"fill=b"))</f>
        <v>NR</v>
      </c>
      <c r="AS68" s="150" t="str" cm="1">
        <f t="array" ref="AS68">IF(B68="","",_xll.BDP($B68,AS$9,"fill=b"))</f>
        <v/>
      </c>
      <c r="AT68" s="150" t="str" cm="1">
        <f t="array" ref="AT68">IF(B68="","",_xll.BDP($B68,AT$9,"fill=b"))</f>
        <v>NR</v>
      </c>
      <c r="AU68" s="258" t="str" cm="1">
        <f t="array" ref="AU68">IF(B68="","",_xll.BDP($B68,AU$9,"fill=b"))</f>
        <v>CPN = BZDIOVRA INDEX + 180 BPS. ISSUED UNDER ICVM 476/09.</v>
      </c>
    </row>
    <row r="69" spans="2:47" ht="15" x14ac:dyDescent="0.25">
      <c r="B69" s="232" t="s">
        <v>288</v>
      </c>
      <c r="C69" s="150" t="str" cm="1">
        <f t="array" ref="C69">IF(B69="","",_xll.BDP($B69,C$9,"fill=b"))</f>
        <v>SBESC7</v>
      </c>
      <c r="D69" s="150" t="str" cm="1">
        <f t="array" ref="D69">IF(B69="","",_xll.BDP($B69,D$9,"fill=b"))</f>
        <v>SBSPBZ 4 3/4 01/15/23</v>
      </c>
      <c r="E69" s="150" t="str" cm="1">
        <f t="array" ref="E69">IF(B69="","",_xll.BDP($B69,E$9,"fill=b"))</f>
        <v>CIA SANEAMENTO BASICO</v>
      </c>
      <c r="F69" s="150" t="str" cm="1">
        <f t="array" ref="F69">IF(B69="","",IF(LEFT(_xlfn.SINGLE(_xll.BDP($B69,F$9,"fill=b")),1)="#","-",_xll.BDP($B69,F$9,"fill=b")))</f>
        <v>1169Z BZ</v>
      </c>
      <c r="G69" s="150" t="str" cm="1">
        <f t="array" ref="G69">IF(B69="","",_xll.BDP($B69,G$9,"fill=b"))</f>
        <v>BRAZIL IPCA+SPREAD</v>
      </c>
      <c r="H69" s="150" t="str" cm="1">
        <f t="array" ref="H69">IF(B69="","",_xll.BDP($B69,H$9,"fill=b"))</f>
        <v/>
      </c>
      <c r="I69" s="150" t="str" cm="1">
        <f t="array" ref="I69">IF(LEFT(_xlfn.SINGLE(_xll.BDP(B69,"REFERENCE_INDEX")),1)="#",IF(LEFT(_xlfn.SINGLE(_xll.BDP(B69, "RESET_IDX"))&amp;" Index",1)="#","",_xlfn.SINGLE(_xll.BDP(B69, "RESET_IDX"))&amp;" Index"),_xll.BDP(B69,"REFERENCE_INDEX"))</f>
        <v>BZCLVLUE Index</v>
      </c>
      <c r="J69" s="150" t="str">
        <f>IF(I69="BZDIOVRA Index",IF(_xll.BDP(B69,"FLT_SPREAD")/100=0,_xll.BDP(B69,"FLT_BENCH_MULTIPLIER"),_xll.BDP(B69,"FLT_SPREAD")/100),"")</f>
        <v/>
      </c>
      <c r="K69" s="150" t="str" cm="1">
        <f t="array" ref="K69">IF(B69="","",IF(LEFT(_xlfn.SINGLE(_xll.BDP($B69,K$9,"fill=b")),1)="#","-",_xll.BDP($B69,K$9,"fill=b")))</f>
        <v>-</v>
      </c>
      <c r="L69" s="233"/>
      <c r="M69" s="234" t="e">
        <f t="shared" si="3"/>
        <v>#VALUE!</v>
      </c>
      <c r="N69" s="252" t="e">
        <f>IF(B69="","",IF(R69="",IF(OR(AD69="SINKABLE",AD69="CALL/SINK"),_xll.BDP(B69,$N$9,$M$9,M69,"PRICING SOURCE",$C$6,"FILL=B"),_xll.BDP(B69,$N$9,$M$9,M69,"PRICING SOURCE",$C$6,"FILL=B")),IF(OR(AD69="SINKABLE",AD69="CALL/SINK"),_xll.BDP(B69,$N$9,$Q$10,S69,$M$9,M69,"PRICING SOURCE",$C$6,"FILL=B"),_xll.BDP(B69,$N$9,$Q$9,S69,$M$9,M69,"PRICING SOURCE",$C$6,"FILL=B"))))</f>
        <v>#VALUE!</v>
      </c>
      <c r="O69" s="235"/>
      <c r="P69" s="236" t="e">
        <f t="shared" si="16"/>
        <v>#VALUE!</v>
      </c>
      <c r="Q69" s="166" t="str">
        <f>IF(ISERROR((IF(OR(AD69="SINKABLE",AD69="CALL/SINK"),_xll.BDP($B69,$Q$10,"fill=b","PRICING_SOURCE",$C$6,$AC69,$N$9,$P69,$M$9,$M69),_xll.BDP($B69,Q$9,"fill=b","PRICING_SOURCE",$C$6,$AC69,$N$9,$P69,$M$9,$M69)))*1),"",IF(OR(AD69="SINKABLE",AD69="CALL/SINK"),_xll.BDP($B69,$Q$10,"fill=b","PRICING_SOURCE",$C$6,$AC69,$N$9,$P69,$M$9,$M69),_xll.BDP($B69,Q$9,"fill=b","PRICING_SOURCE",$C$6,$AC69,$N$9,$P69,$M$9,$M69)))</f>
        <v/>
      </c>
      <c r="R69" s="237"/>
      <c r="S69" s="238" t="str">
        <f t="shared" si="17"/>
        <v/>
      </c>
      <c r="T69" s="239" cm="1">
        <f t="array" ref="T69">IF(ISERROR((_xlfn.SINGLE(IF(OR(AD69="SINKABLE",AD69="CALL/SINK"),_xll.BDP($B69,$Q$10,"fill=b","PRICING_SOURCE",$C$6,$AC69,$M$9,$U69,"px ask",$AE69),_xll.BDP($B69,Q$9,"fill=b","PRICING_SOURCE",$C$6,$AC69,$M$9,$U69,"px ask",$AE69))))*1),"",IF(OR(AD69="SINKABLE",AD69="CALL/SINK"),_xll.BDP($B69,$Q$10,"fill=b","PRICING_SOURCE",$C$6,$AC69,$M$9,$U69,"px ask",$AE69),_xll.BDP($B69,Q$9,"fill=b","PRICING_SOURCE",$C$6,$AC69,$M$9,$U69,"px ask",$AE69)))</f>
        <v>59.388665582203053</v>
      </c>
      <c r="U69" s="240" t="str">
        <f t="shared" si="13"/>
        <v>20130221</v>
      </c>
      <c r="V69" s="254" t="e" cm="1">
        <f t="array" ref="V69">IF(B69="","",IF(I69="BZDIOVRA Index",IF(OR(AD69="SINKABLE",AD69="CALL/SINK"),_xll.BDP($B69,"PX_ASK",$Q$10,J69,$M$9,M69),_xll.BDP($B69,"PX_"&amp;$H$7,$Q$9,J69,$M$9,M69)),_xll.BDP($B69,"PX_"&amp;$H$7,$Q$9,_xll.BDP(B69,"CPN"),$M$9,M69)))</f>
        <v>#VALUE!</v>
      </c>
      <c r="W69" s="254" t="str">
        <f t="shared" si="14"/>
        <v/>
      </c>
      <c r="X69" s="166" t="e">
        <f>IF(B69="","",IF(OR(AD69="SINKABLE",AD69="CALL/SINK"),_xll.BDP($B69,X$9,"fill=b","PRICING_SOURCE",$C$6,$AC69,$M$9,$M69,$N$9,$P69,$Q$10,$S69),_xll.BDP($B69,X$9,"fill=b","PRICING_SOURCE",$C$6,$AC69,$M$9,$M69,$N$9,$P69,$Q$9,$S69)))</f>
        <v>#VALUE!</v>
      </c>
      <c r="Y69" s="166" t="e">
        <f>IF(B69="","",IF(OR(AD69="SINKABLE",AD69="CALL/SINK"),_xll.BDP($B69,Y$9,"fill=b","PRICING_SOURCE",$C$6,$AC69,$M$9,$M69,$N$9,$P69,$Q$10,$S69),_xll.BDP($B69,Y$9,"fill=b","PRICING_SOURCE",$C$6,$AC69,$M$9,$M69,$N$9,$P69,$Q$9,$S69)))</f>
        <v>#VALUE!</v>
      </c>
      <c r="Z69" s="255" t="e">
        <f>IF(B69="","",IF(OR(AD69="SINKABLE",AD69="CALL/SINK"),_xll.BDP($B69,Z$9,"fill=b","PRICING_SOURCE",$C$6,$AC69,$M$9,$M69,$N$9,$P69,$Q$10,$S69),_xll.BDP($B69,Z$9,"fill=b","PRICING_SOURCE",$C$6,$AC69,$M$9,$M69,$N$9,$P69,$Q$9,$S69)))</f>
        <v>#VALUE!</v>
      </c>
      <c r="AA69" s="166" t="e">
        <f>IF(B69="","",IF(OR(AD69="SINKABLE",AD69="CALL/SINK"),_xll.BDP($B69,AA$9,"fill=b","PRICING_SOURCE",$C$6,$AC69,$M$9,$M69,$N$9,$P69,$Q$10,$S69),_xll.BDP($B69,AA$9,"fill=b","PRICING_SOURCE",$C$6,$AC69,$M$9,$M69,$N$9,$P69,$Q$9,$S69)))</f>
        <v>#VALUE!</v>
      </c>
      <c r="AB69" s="150" t="str" cm="1">
        <f t="array" ref="AB69">IF(B69="","",IF(LEFT(_xlfn.SINGLE(_xll.BDP($B69,AB$9,"fill=b")),1)="#","-",_xll.BDP($B69,AB$9,"fill=b")))</f>
        <v>1/15/2023</v>
      </c>
      <c r="AC69" s="150" t="str">
        <f t="shared" si="18"/>
        <v>YLD FLAG=28</v>
      </c>
      <c r="AD69" s="150" t="str" cm="1">
        <f t="array" ref="AD69">IF(B69="","",_xll.BDP($B69,AD$9,"fill=b"))</f>
        <v>CALL/SINK</v>
      </c>
      <c r="AE69" s="256" cm="1">
        <f t="array" ref="AE69">IF(B69="","",IF(ISERROR(_xlfn.SINGLE(_xll.BDH(B69,"PX LAST",AN69,AN69,"DAYS=ALL","PRICING SOURCE",$C$6))*1),_xll.BDP(B69,"PAR AMT"),_xll.BDH(B69,"PX LAST",AN69,AN69,"DAYS=ALL","PRICING SOURCE",$C$6)))</f>
        <v>4489</v>
      </c>
      <c r="AF69" s="150" cm="1">
        <f t="array" ref="AF69">IF(B69="","",_xll.BDP($B69,AF$9,"fill=b"))</f>
        <v>4.75</v>
      </c>
      <c r="AG69" s="150"/>
      <c r="AH69" s="190" t="e">
        <f>IF(B69="","",IF($AD69="AT MATURITY",$AB69*1,_xll.BADDPERIODS(_xll.BDP($B69,"issue dt"),"numberofperiods",TRUNC(_xll.BDP($B69,"YRS_TO_LONGEST_AVG_LIFE","YLD_YTM_BID",AF69,"SETTLE_DT",U69,AC69),0),"per=y")+(ROUND(MOD(_xll.BDP(B69,"YRS_TO_LONGEST_AVG_LIFE","YLD_YTM_BID",AF69,"SETTLE_DT",U69,AC69),1)*360,0))))</f>
        <v>#VALUE!</v>
      </c>
      <c r="AI69" s="150" t="e" cm="1">
        <f t="array" ref="AI69">IF(B69="","",AF69-_xll.BInterpol(_xll.BDP(_xll.BDS("YCGT0372 Index","curve members","CURVE_DATE", $U69,"endcol=1","array=true"),"maturity")*1,_xll.BDH(_xll.BDS("YCGT0372 Index","curve members","CURVE_DATE", $U69,"endcol=1","array=true"),"yld cnv mid",$U69,$U69,"days=all"),AH69,"CUBIC","Extrapolate=LINEAR","SKIP=TRUE","SORT=TRUE","MultiX=Average"))</f>
        <v>#VALUE!</v>
      </c>
      <c r="AJ69" s="189" t="str">
        <f t="shared" si="15"/>
        <v/>
      </c>
      <c r="AK69" s="257" t="str" cm="1">
        <f t="array" ref="AK69">IF(B69="","",_xll.BDP($B69,AK$9,"fill=b"))</f>
        <v>180.09MM</v>
      </c>
      <c r="AL69" s="257" t="str" cm="1">
        <f t="array" ref="AL69">IF(B69="","",_xll.BDP($B69,AL$9,"fill=b"))</f>
        <v>0</v>
      </c>
      <c r="AM69" s="256" cm="1">
        <f t="array" ref="AM69">IF(B69="","",_xll.BDP($B69,AM$9,"fill=b"))</f>
        <v>4489</v>
      </c>
      <c r="AN69" s="150" t="str" cm="1">
        <f t="array" ref="AN69">IF(B69="","",_xll.BDP($B69,AN$9,"fill=b"))</f>
        <v>2/21/2013</v>
      </c>
      <c r="AO69" s="150" t="str" cm="1">
        <f t="array" ref="AO69">IF(B69="","",IF(LEFT(_xlfn.SINGLE(_xll.BDP($B69,AO$9,"fill=b")),1)="#","-",_xll.BDP($B69,AO$9,"fill=b")))</f>
        <v>BBBBI,BBINVE</v>
      </c>
      <c r="AP69" s="150" t="str" cm="1">
        <f t="array" ref="AP69">IF(B69="","",_xll.BDP($B69,AP$9,"fill=b"))</f>
        <v>Utilities</v>
      </c>
      <c r="AQ69" s="150" t="str" cm="1">
        <f t="array" ref="AQ69">IF(B69="","",_xll.BDP($B69,AQ$9,"fill=b"))</f>
        <v>Water</v>
      </c>
      <c r="AR69" s="150" t="str" cm="1">
        <f t="array" ref="AR69">IF(B69="","",_xll.BDP($B69,AR$9,"fill=b"))</f>
        <v>NR</v>
      </c>
      <c r="AS69" s="150" t="str" cm="1">
        <f t="array" ref="AS69">IF(B69="","",_xll.BDP($B69,AS$9,"fill=b"))</f>
        <v>WR</v>
      </c>
      <c r="AT69" s="150" t="str" cm="1">
        <f t="array" ref="AT69">IF(B69="","",_xll.BDP($B69,AT$9,"fill=b"))</f>
        <v/>
      </c>
      <c r="AU69" s="258" t="str" cm="1">
        <f t="array" ref="AU69">IF(B69="","",_xll.BDP($B69,AU$9,"fill=b"))</f>
        <v>CPN = BZCLVLUE  INDEX+  475BP</v>
      </c>
    </row>
    <row r="70" spans="2:47" ht="15" x14ac:dyDescent="0.25">
      <c r="B70" s="232" t="s">
        <v>258</v>
      </c>
      <c r="C70" s="150" t="str" cm="1">
        <f t="array" ref="C70">IF(B70="","",_xll.BDP($B70,C$9,"fill=b"))</f>
        <v>CMDT23</v>
      </c>
      <c r="D70" s="150" t="str" cm="1">
        <f t="array" ref="D70">IF(B70="","",_xll.BDP($B70,D$9,"fill=b"))</f>
        <v>CMIGBZ 4.7 02/15/21</v>
      </c>
      <c r="E70" s="150" t="str" cm="1">
        <f t="array" ref="E70">IF(B70="","",_xll.BDP($B70,E$9,"fill=b"))</f>
        <v>CEMIG DISTRIBUICAO SA</v>
      </c>
      <c r="F70" s="150" t="str" cm="1">
        <f t="array" ref="F70">IF(B70="","",IF(LEFT(_xlfn.SINGLE(_xll.BDP($B70,F$9,"fill=b")),1)="#","-",_xll.BDP($B70,F$9,"fill=b")))</f>
        <v>CMIG4 BZ</v>
      </c>
      <c r="G70" s="150" t="str" cm="1">
        <f t="array" ref="G70">IF(B70="","",_xll.BDP($B70,G$9,"fill=b"))</f>
        <v>BRAZIL IPCA+SPREAD</v>
      </c>
      <c r="H70" s="150" t="str" cm="1">
        <f t="array" ref="H70">IF(B70="","",_xll.BDP($B70,H$9,"fill=b"))</f>
        <v/>
      </c>
      <c r="I70" s="150" t="str" cm="1">
        <f t="array" ref="I70">IF(LEFT(_xlfn.SINGLE(_xll.BDP(B70,"REFERENCE_INDEX")),1)="#",IF(LEFT(_xlfn.SINGLE(_xll.BDP(B70, "RESET_IDX"))&amp;" Index",1)="#","",_xlfn.SINGLE(_xll.BDP(B70, "RESET_IDX"))&amp;" Index"),_xll.BDP(B70,"REFERENCE_INDEX"))</f>
        <v>BZCLVLUE Index</v>
      </c>
      <c r="J70" s="150" t="str">
        <f>IF(I70="BZDIOVRA Index",IF(_xll.BDP(B70,"FLT_SPREAD")/100=0,_xll.BDP(B70,"FLT_BENCH_MULTIPLIER"),_xll.BDP(B70,"FLT_SPREAD")/100),"")</f>
        <v/>
      </c>
      <c r="K70" s="150" t="str" cm="1">
        <f t="array" ref="K70">IF(B70="","",IF(LEFT(_xlfn.SINGLE(_xll.BDP($B70,K$9,"fill=b")),1)="#","-",_xll.BDP($B70,K$9,"fill=b")))</f>
        <v>-</v>
      </c>
      <c r="L70" s="233"/>
      <c r="M70" s="234" t="e">
        <f t="shared" si="3"/>
        <v>#VALUE!</v>
      </c>
      <c r="N70" s="252" t="e">
        <f>IF(B70="","",IF(R70="",IF(OR(AD70="SINKABLE",AD70="CALL/SINK"),_xll.BDP(B70,$N$9,$M$9,M70,"PRICING SOURCE",$C$6,"FILL=B"),_xll.BDP(B70,$N$9,$M$9,M70,"PRICING SOURCE",$C$6,"FILL=B")),IF(OR(AD70="SINKABLE",AD70="CALL/SINK"),_xll.BDP(B70,$N$9,$Q$10,S70,$M$9,M70,"PRICING SOURCE",$C$6,"FILL=B"),_xll.BDP(B70,$N$9,$Q$9,S70,$M$9,M70,"PRICING SOURCE",$C$6,"FILL=B"))))</f>
        <v>#VALUE!</v>
      </c>
      <c r="O70" s="235"/>
      <c r="P70" s="236" t="e">
        <f t="shared" si="16"/>
        <v>#VALUE!</v>
      </c>
      <c r="Q70" s="166" t="str">
        <f>IF(ISERROR((IF(OR(AD70="SINKABLE",AD70="CALL/SINK"),_xll.BDP($B70,$Q$10,"fill=b","PRICING_SOURCE",$C$6,$AC70,$N$9,$P70,$M$9,$M70),_xll.BDP($B70,Q$9,"fill=b","PRICING_SOURCE",$C$6,$AC70,$N$9,$P70,$M$9,$M70)))*1),"",IF(OR(AD70="SINKABLE",AD70="CALL/SINK"),_xll.BDP($B70,$Q$10,"fill=b","PRICING_SOURCE",$C$6,$AC70,$N$9,$P70,$M$9,$M70),_xll.BDP($B70,Q$9,"fill=b","PRICING_SOURCE",$C$6,$AC70,$N$9,$P70,$M$9,$M70)))</f>
        <v/>
      </c>
      <c r="R70" s="237"/>
      <c r="S70" s="238" t="str">
        <f t="shared" si="17"/>
        <v/>
      </c>
      <c r="T70" s="239" cm="1">
        <f t="array" ref="T70">IF(ISERROR((_xlfn.SINGLE(IF(OR(AD70="SINKABLE",AD70="CALL/SINK"),_xll.BDP($B70,$Q$10,"fill=b","PRICING_SOURCE",$C$6,$AC70,$M$9,$U70,"px ask",$AE70),_xll.BDP($B70,Q$9,"fill=b","PRICING_SOURCE",$C$6,$AC70,$M$9,$U70,"px ask",$AE70))))*1),"",IF(OR(AD70="SINKABLE",AD70="CALL/SINK"),_xll.BDP($B70,$Q$10,"fill=b","PRICING_SOURCE",$C$6,$AC70,$M$9,$U70,"px ask",$AE70),_xll.BDP($B70,Q$9,"fill=b","PRICING_SOURCE",$C$6,$AC70,$M$9,$U70,"px ask",$AE70)))</f>
        <v>67.906491301109142</v>
      </c>
      <c r="U70" s="240" t="str">
        <f t="shared" si="13"/>
        <v>20130311</v>
      </c>
      <c r="V70" s="254" t="e" cm="1">
        <f t="array" ref="V70">IF(B70="","",IF(I70="BZDIOVRA Index",IF(OR(AD70="SINKABLE",AD70="CALL/SINK"),_xll.BDP($B70,"PX_ASK",$Q$10,J70,$M$9,M70),_xll.BDP($B70,"PX_"&amp;$H$7,$Q$9,J70,$M$9,M70)),_xll.BDP($B70,"PX_"&amp;$H$7,$Q$9,_xll.BDP(B70,"CPN"),$M$9,M70)))</f>
        <v>#VALUE!</v>
      </c>
      <c r="W70" s="254" t="str">
        <f t="shared" si="14"/>
        <v/>
      </c>
      <c r="X70" s="166" t="e">
        <f>IF(B70="","",IF(OR(AD70="SINKABLE",AD70="CALL/SINK"),_xll.BDP($B70,X$9,"fill=b","PRICING_SOURCE",$C$6,$AC70,$M$9,$M70,$N$9,$P70,$Q$10,$S70),_xll.BDP($B70,X$9,"fill=b","PRICING_SOURCE",$C$6,$AC70,$M$9,$M70,$N$9,$P70,$Q$9,$S70)))</f>
        <v>#VALUE!</v>
      </c>
      <c r="Y70" s="166" t="e">
        <f>IF(B70="","",IF(OR(AD70="SINKABLE",AD70="CALL/SINK"),_xll.BDP($B70,Y$9,"fill=b","PRICING_SOURCE",$C$6,$AC70,$M$9,$M70,$N$9,$P70,$Q$10,$S70),_xll.BDP($B70,Y$9,"fill=b","PRICING_SOURCE",$C$6,$AC70,$M$9,$M70,$N$9,$P70,$Q$9,$S70)))</f>
        <v>#VALUE!</v>
      </c>
      <c r="Z70" s="255" t="e">
        <f>IF(B70="","",IF(OR(AD70="SINKABLE",AD70="CALL/SINK"),_xll.BDP($B70,Z$9,"fill=b","PRICING_SOURCE",$C$6,$AC70,$M$9,$M70,$N$9,$P70,$Q$10,$S70),_xll.BDP($B70,Z$9,"fill=b","PRICING_SOURCE",$C$6,$AC70,$M$9,$M70,$N$9,$P70,$Q$9,$S70)))</f>
        <v>#VALUE!</v>
      </c>
      <c r="AA70" s="166" t="e">
        <f>IF(B70="","",IF(OR(AD70="SINKABLE",AD70="CALL/SINK"),_xll.BDP($B70,AA$9,"fill=b","PRICING_SOURCE",$C$6,$AC70,$M$9,$M70,$N$9,$P70,$Q$10,$S70),_xll.BDP($B70,AA$9,"fill=b","PRICING_SOURCE",$C$6,$AC70,$M$9,$M70,$N$9,$P70,$Q$9,$S70)))</f>
        <v>#VALUE!</v>
      </c>
      <c r="AB70" s="150" t="str" cm="1">
        <f t="array" ref="AB70">IF(B70="","",IF(LEFT(_xlfn.SINGLE(_xll.BDP($B70,AB$9,"fill=b")),1)="#","-",_xll.BDP($B70,AB$9,"fill=b")))</f>
        <v>2/15/2021</v>
      </c>
      <c r="AC70" s="150" t="str">
        <f t="shared" si="18"/>
        <v>YLD FLAG=28</v>
      </c>
      <c r="AD70" s="150" t="str" cm="1">
        <f t="array" ref="AD70">IF(B70="","",_xll.BDP($B70,AD$9,"fill=b"))</f>
        <v>SINKABLE</v>
      </c>
      <c r="AE70" s="256" cm="1">
        <f t="array" ref="AE70">IF(B70="","",IF(ISERROR(_xlfn.SINGLE(_xll.BDH(B70,"PX LAST",AN70,AN70,"DAYS=ALL","PRICING SOURCE",$C$6))*1),_xll.BDP(B70,"PAR AMT"),_xll.BDH(B70,"PX LAST",AN70,AN70,"DAYS=ALL","PRICING SOURCE",$C$6)))</f>
        <v>340</v>
      </c>
      <c r="AF70" s="150" cm="1">
        <f t="array" ref="AF70">IF(B70="","",_xll.BDP($B70,AF$9,"fill=b"))</f>
        <v>4.7</v>
      </c>
      <c r="AG70" s="150"/>
      <c r="AH70" s="190">
        <f>IF(B70="","",IF($AD70="AT MATURITY",$AB70*1,_xll.BADDPERIODS(_xll.BDP($B70,"issue dt"),"numberofperiods",TRUNC(_xll.BDP($B70,"YRS_TO_LONGEST_AVG_LIFE","YLD_YTM_BID",AF70,"SETTLE_DT",U70,AC70),0),"per=y")+(ROUND(MOD(_xll.BDP(B70,"YRS_TO_LONGEST_AVG_LIFE","YLD_YTM_BID",AF70,"SETTLE_DT",U70,AC70),1)*360,0))))</f>
        <v>66852</v>
      </c>
      <c r="AI70" s="150" t="e">
        <f t="array" ref="AI70">IF(B70="","",AF70-_xll.BInterpol(_xll.BDP(_xll.BDS("YCGT0372 Index","curve members","CURVE_DATE", $U70,"endcol=1","array=true"),"maturity")*1,_xll.BDH(_xll.BDS("YCGT0372 Index","curve members","CURVE_DATE", $U70,"endcol=1","array=true"),"yld cnv mid",$U70,$U70,"days=all"),AH70,"CUBIC","Extrapolate=LINEAR","SKIP=TRUE","SORT=TRUE","MultiX=Average"))</f>
        <v>#VALUE!</v>
      </c>
      <c r="AJ70" s="189" t="str">
        <f t="shared" si="15"/>
        <v/>
      </c>
      <c r="AK70" s="257" t="str" cm="1">
        <f t="array" ref="AK70">IF(B70="","",_xll.BDP($B70,AK$9,"fill=b"))</f>
        <v>1.096MMM</v>
      </c>
      <c r="AL70" s="257" t="str" cm="1">
        <f t="array" ref="AL70">IF(B70="","",_xll.BDP($B70,AL$9,"fill=b"))</f>
        <v>0</v>
      </c>
      <c r="AM70" s="256" cm="1">
        <f t="array" ref="AM70">IF(B70="","",_xll.BDP($B70,AM$9,"fill=b"))</f>
        <v>340</v>
      </c>
      <c r="AN70" s="150" t="str" cm="1">
        <f t="array" ref="AN70">IF(B70="","",_xll.BDP($B70,AN$9,"fill=b"))</f>
        <v>3/11/2013</v>
      </c>
      <c r="AO70" s="150" t="str" cm="1">
        <f t="array" ref="AO70">IF(B70="","",IF(LEFT(_xlfn.SINGLE(_xll.BDP($B70,AO$9,"fill=b")),1)="#","-",_xll.BDP($B70,AO$9,"fill=b")))</f>
        <v>JOINT LEADS</v>
      </c>
      <c r="AP70" s="150" t="str" cm="1">
        <f t="array" ref="AP70">IF(B70="","",_xll.BDP($B70,AP$9,"fill=b"))</f>
        <v>Utilities</v>
      </c>
      <c r="AQ70" s="150" t="str" cm="1">
        <f t="array" ref="AQ70">IF(B70="","",_xll.BDP($B70,AQ$9,"fill=b"))</f>
        <v>Electric</v>
      </c>
      <c r="AR70" s="150" t="str" cm="1">
        <f t="array" ref="AR70">IF(B70="","",_xll.BDP($B70,AR$9,"fill=b"))</f>
        <v/>
      </c>
      <c r="AS70" s="150" t="str" cm="1">
        <f t="array" ref="AS70">IF(B70="","",_xll.BDP($B70,AS$9,"fill=b"))</f>
        <v>WR</v>
      </c>
      <c r="AT70" s="150" t="str" cm="1">
        <f t="array" ref="AT70">IF(B70="","",_xll.BDP($B70,AT$9,"fill=b"))</f>
        <v/>
      </c>
      <c r="AU70" s="258" t="str" cm="1">
        <f t="array" ref="AU70">IF(B70="","",_xll.BDP($B70,AU$9,"fill=b"))</f>
        <v>CPN = BZCLVLUE INDEX + 470BPS. NOVO MERCADO.</v>
      </c>
    </row>
    <row r="71" spans="2:47" ht="15" x14ac:dyDescent="0.25">
      <c r="B71" s="232" t="s">
        <v>295</v>
      </c>
      <c r="C71" s="150" t="str" cm="1">
        <f t="array" ref="C71">IF(B71="","",_xll.BDP($B71,C$9,"fill=b"))</f>
        <v>CMDT33</v>
      </c>
      <c r="D71" s="150" t="str" cm="1">
        <f t="array" ref="D71">IF(B71="","",_xll.BDP($B71,D$9,"fill=b"))</f>
        <v>CMIGBZ 5.1 02/15/25</v>
      </c>
      <c r="E71" s="150" t="str" cm="1">
        <f t="array" ref="E71">IF(B71="","",_xll.BDP($B71,E$9,"fill=b"))</f>
        <v>CEMIG DISTRIBUICAO SA</v>
      </c>
      <c r="F71" s="150" t="str" cm="1">
        <f t="array" ref="F71">IF(B71="","",IF(LEFT(_xlfn.SINGLE(_xll.BDP($B71,F$9,"fill=b")),1)="#","-",_xll.BDP($B71,F$9,"fill=b")))</f>
        <v>CMIG4 BZ</v>
      </c>
      <c r="G71" s="150" t="str" cm="1">
        <f t="array" ref="G71">IF(B71="","",_xll.BDP($B71,G$9,"fill=b"))</f>
        <v>BRAZIL IPCA+SPREAD</v>
      </c>
      <c r="H71" s="150" t="str" cm="1">
        <f t="array" ref="H71">IF(B71="","",_xll.BDP($B71,H$9,"fill=b"))</f>
        <v/>
      </c>
      <c r="I71" s="150" t="str" cm="1">
        <f t="array" ref="I71">IF(LEFT(_xlfn.SINGLE(_xll.BDP(B71,"REFERENCE_INDEX")),1)="#",IF(LEFT(_xlfn.SINGLE(_xll.BDP(B71, "RESET_IDX"))&amp;" Index",1)="#","",_xlfn.SINGLE(_xll.BDP(B71, "RESET_IDX"))&amp;" Index"),_xll.BDP(B71,"REFERENCE_INDEX"))</f>
        <v>BZCLVLUE Index</v>
      </c>
      <c r="J71" s="150" t="str">
        <f>IF(I71="BZDIOVRA Index",IF(_xll.BDP(B71,"FLT_SPREAD")/100=0,_xll.BDP(B71,"FLT_BENCH_MULTIPLIER"),_xll.BDP(B71,"FLT_SPREAD")/100),"")</f>
        <v/>
      </c>
      <c r="K71" s="150" t="str" cm="1">
        <f t="array" ref="K71">IF(B71="","",IF(LEFT(_xlfn.SINGLE(_xll.BDP($B71,K$9,"fill=b")),1)="#","-",_xll.BDP($B71,K$9,"fill=b")))</f>
        <v>-</v>
      </c>
      <c r="L71" s="233"/>
      <c r="M71" s="234" t="e">
        <f t="shared" si="3"/>
        <v>#VALUE!</v>
      </c>
      <c r="N71" s="252" t="e">
        <f>IF(B71="","",IF(R71="",IF(OR(AD71="SINKABLE",AD71="CALL/SINK"),_xll.BDP(B71,$N$9,$M$9,M71,"PRICING SOURCE",$C$6,"FILL=B"),_xll.BDP(B71,$N$9,$M$9,M71,"PRICING SOURCE",$C$6,"FILL=B")),IF(OR(AD71="SINKABLE",AD71="CALL/SINK"),_xll.BDP(B71,$N$9,$Q$10,S71,$M$9,M71,"PRICING SOURCE",$C$6,"FILL=B"),_xll.BDP(B71,$N$9,$Q$9,S71,$M$9,M71,"PRICING SOURCE",$C$6,"FILL=B"))))</f>
        <v>#VALUE!</v>
      </c>
      <c r="O71" s="235"/>
      <c r="P71" s="236" t="e">
        <f t="shared" ref="P71:P77" si="19">IF(O71="",N71,O71)</f>
        <v>#VALUE!</v>
      </c>
      <c r="Q71" s="166" t="str">
        <f>IF(ISERROR((IF(OR(AD71="SINKABLE",AD71="CALL/SINK"),_xll.BDP($B71,$Q$10,"fill=b","PRICING_SOURCE",$C$6,$AC71,$N$9,$P71,$M$9,$M71),_xll.BDP($B71,Q$9,"fill=b","PRICING_SOURCE",$C$6,$AC71,$N$9,$P71,$M$9,$M71)))*1),"",IF(OR(AD71="SINKABLE",AD71="CALL/SINK"),_xll.BDP($B71,$Q$10,"fill=b","PRICING_SOURCE",$C$6,$AC71,$N$9,$P71,$M$9,$M71),_xll.BDP($B71,Q$9,"fill=b","PRICING_SOURCE",$C$6,$AC71,$N$9,$P71,$M$9,$M71)))</f>
        <v/>
      </c>
      <c r="R71" s="237"/>
      <c r="S71" s="238" t="str">
        <f t="shared" ref="S71:S77" si="20">IF(R71="",Q71,R71)</f>
        <v/>
      </c>
      <c r="T71" s="239" cm="1">
        <f t="array" ref="T71">IF(ISERROR((_xlfn.SINGLE(IF(OR(AD71="SINKABLE",AD71="CALL/SINK"),_xll.BDP($B71,$Q$10,"fill=b","PRICING_SOURCE",$C$6,$AC71,$M$9,$U71,"px ask",$AE71),_xll.BDP($B71,Q$9,"fill=b","PRICING_SOURCE",$C$6,$AC71,$M$9,$U71,"px ask",$AE71))))*1),"",IF(OR(AD71="SINKABLE",AD71="CALL/SINK"),_xll.BDP($B71,$Q$10,"fill=b","PRICING_SOURCE",$C$6,$AC71,$M$9,$U71,"px ask",$AE71),_xll.BDP($B71,Q$9,"fill=b","PRICING_SOURCE",$C$6,$AC71,$M$9,$U71,"px ask",$AE71)))</f>
        <v>57.929140891677847</v>
      </c>
      <c r="U71" s="240" t="str">
        <f t="shared" si="13"/>
        <v>20130311</v>
      </c>
      <c r="V71" s="254" t="e" cm="1">
        <f t="array" ref="V71">IF(B71="","",IF(I71="BZDIOVRA Index",IF(OR(AD71="SINKABLE",AD71="CALL/SINK"),_xll.BDP($B71,"PX_ASK",$Q$10,J71,$M$9,M71),_xll.BDP($B71,"PX_"&amp;$H$7,$Q$9,J71,$M$9,M71)),_xll.BDP($B71,"PX_"&amp;$H$7,$Q$9,_xll.BDP(B71,"CPN"),$M$9,M71)))</f>
        <v>#VALUE!</v>
      </c>
      <c r="W71" s="254" t="str">
        <f t="shared" si="14"/>
        <v/>
      </c>
      <c r="X71" s="166" t="e">
        <f>IF(B71="","",IF(OR(AD71="SINKABLE",AD71="CALL/SINK"),_xll.BDP($B71,X$9,"fill=b","PRICING_SOURCE",$C$6,$AC71,$M$9,$M71,$N$9,$P71,$Q$10,$S71),_xll.BDP($B71,X$9,"fill=b","PRICING_SOURCE",$C$6,$AC71,$M$9,$M71,$N$9,$P71,$Q$9,$S71)))</f>
        <v>#VALUE!</v>
      </c>
      <c r="Y71" s="166" t="e">
        <f>IF(B71="","",IF(OR(AD71="SINKABLE",AD71="CALL/SINK"),_xll.BDP($B71,Y$9,"fill=b","PRICING_SOURCE",$C$6,$AC71,$M$9,$M71,$N$9,$P71,$Q$10,$S71),_xll.BDP($B71,Y$9,"fill=b","PRICING_SOURCE",$C$6,$AC71,$M$9,$M71,$N$9,$P71,$Q$9,$S71)))</f>
        <v>#VALUE!</v>
      </c>
      <c r="Z71" s="255" t="e">
        <f>IF(B71="","",IF(OR(AD71="SINKABLE",AD71="CALL/SINK"),_xll.BDP($B71,Z$9,"fill=b","PRICING_SOURCE",$C$6,$AC71,$M$9,$M71,$N$9,$P71,$Q$10,$S71),_xll.BDP($B71,Z$9,"fill=b","PRICING_SOURCE",$C$6,$AC71,$M$9,$M71,$N$9,$P71,$Q$9,$S71)))</f>
        <v>#VALUE!</v>
      </c>
      <c r="AA71" s="166" t="e">
        <f>IF(B71="","",IF(OR(AD71="SINKABLE",AD71="CALL/SINK"),_xll.BDP($B71,AA$9,"fill=b","PRICING_SOURCE",$C$6,$AC71,$M$9,$M71,$N$9,$P71,$Q$10,$S71),_xll.BDP($B71,AA$9,"fill=b","PRICING_SOURCE",$C$6,$AC71,$M$9,$M71,$N$9,$P71,$Q$9,$S71)))</f>
        <v>#VALUE!</v>
      </c>
      <c r="AB71" s="150" t="str" cm="1">
        <f t="array" ref="AB71">IF(B71="","",IF(LEFT(_xlfn.SINGLE(_xll.BDP($B71,AB$9,"fill=b")),1)="#","-",_xll.BDP($B71,AB$9,"fill=b")))</f>
        <v>2/15/2025</v>
      </c>
      <c r="AC71" s="150" t="str">
        <f t="shared" ref="AC71:AC77" si="21">IF(OR(AD71="SINKABLE",AD71="CALL/SINK"),"YLD FLAG=28",IF(OR(AD71="AT MATURITY",AD71="CALLABLE"),"YLD FLAG=1","YLD FLAG=2"))</f>
        <v>YLD FLAG=28</v>
      </c>
      <c r="AD71" s="150" t="str" cm="1">
        <f t="array" ref="AD71">IF(B71="","",_xll.BDP($B71,AD$9,"fill=b"))</f>
        <v>SINKABLE</v>
      </c>
      <c r="AE71" s="256" cm="1">
        <f t="array" ref="AE71">IF(B71="","",IF(ISERROR(_xlfn.SINGLE(_xll.BDH(B71,"PX LAST",AN71,AN71,"DAYS=ALL","PRICING SOURCE",$C$6))*1),_xll.BDP(B71,"PAR AMT"),_xll.BDH(B71,"PX LAST",AN71,AN71,"DAYS=ALL","PRICING SOURCE",$C$6)))</f>
        <v>76.923076960000103</v>
      </c>
      <c r="AF71" s="150" cm="1">
        <f t="array" ref="AF71">IF(B71="","",_xll.BDP($B71,AF$9,"fill=b"))</f>
        <v>5.0999999999999996</v>
      </c>
      <c r="AG71" s="150"/>
      <c r="AH71" s="190" t="e">
        <f>IF(B71="","",IF($AD71="AT MATURITY",$AB71*1,_xll.BADDPERIODS(_xll.BDP($B71,"issue dt"),"numberofperiods",TRUNC(_xll.BDP($B71,"YRS_TO_LONGEST_AVG_LIFE","YLD_YTM_BID",AF71,"SETTLE_DT",U71,AC71),0),"per=y")+(ROUND(MOD(_xll.BDP(B71,"YRS_TO_LONGEST_AVG_LIFE","YLD_YTM_BID",AF71,"SETTLE_DT",U71,AC71),1)*360,0))))</f>
        <v>#VALUE!</v>
      </c>
      <c r="AI71" s="150" t="e" cm="1">
        <f t="array" ref="AI71">IF(B71="","",AF71-_xll.BInterpol(_xll.BDP(_xll.BDS("YCGT0372 Index","curve members","CURVE_DATE", $U71,"endcol=1","array=true"),"maturity")*1,_xll.BDH(_xll.BDS("YCGT0372 Index","curve members","CURVE_DATE", $U71,"endcol=1","array=true"),"yld cnv mid",$U71,$U71,"days=all"),AH71,"CUBIC","Extrapolate=LINEAR","SKIP=TRUE","SORT=TRUE","MultiX=Average"))</f>
        <v>#VALUE!</v>
      </c>
      <c r="AJ71" s="189" t="str">
        <f t="shared" si="15"/>
        <v/>
      </c>
      <c r="AK71" s="257" t="str" cm="1">
        <f t="array" ref="AK71">IF(B71="","",_xll.BDP($B71,AK$9,"fill=b"))</f>
        <v>653.675MM</v>
      </c>
      <c r="AL71" s="257" t="str" cm="1">
        <f t="array" ref="AL71">IF(B71="","",_xll.BDP($B71,AL$9,"fill=b"))</f>
        <v>0</v>
      </c>
      <c r="AM71" s="256" cm="1">
        <f t="array" ref="AM71">IF(B71="","",_xll.BDP($B71,AM$9,"fill=b"))</f>
        <v>76.923076960000103</v>
      </c>
      <c r="AN71" s="150" t="str" cm="1">
        <f t="array" ref="AN71">IF(B71="","",_xll.BDP($B71,AN$9,"fill=b"))</f>
        <v>3/11/2013</v>
      </c>
      <c r="AO71" s="150" t="str" cm="1">
        <f t="array" ref="AO71">IF(B71="","",IF(LEFT(_xlfn.SINGLE(_xll.BDP($B71,AO$9,"fill=b")),1)="#","-",_xll.BDP($B71,AO$9,"fill=b")))</f>
        <v>JOINT LEADS</v>
      </c>
      <c r="AP71" s="150" t="str" cm="1">
        <f t="array" ref="AP71">IF(B71="","",_xll.BDP($B71,AP$9,"fill=b"))</f>
        <v>Utilities</v>
      </c>
      <c r="AQ71" s="150" t="str" cm="1">
        <f t="array" ref="AQ71">IF(B71="","",_xll.BDP($B71,AQ$9,"fill=b"))</f>
        <v>Electric</v>
      </c>
      <c r="AR71" s="150" t="str" cm="1">
        <f t="array" ref="AR71">IF(B71="","",_xll.BDP($B71,AR$9,"fill=b"))</f>
        <v/>
      </c>
      <c r="AS71" s="150" t="str" cm="1">
        <f t="array" ref="AS71">IF(B71="","",_xll.BDP($B71,AS$9,"fill=b"))</f>
        <v>WR</v>
      </c>
      <c r="AT71" s="150" t="str" cm="1">
        <f t="array" ref="AT71">IF(B71="","",_xll.BDP($B71,AT$9,"fill=b"))</f>
        <v/>
      </c>
      <c r="AU71" s="258" t="str" cm="1">
        <f t="array" ref="AU71">IF(B71="","",_xll.BDP($B71,AU$9,"fill=b"))</f>
        <v>CPN = BZCLVLUE INDEX + 510 BPS. NOVO MERCARDO.</v>
      </c>
    </row>
    <row r="72" spans="2:47" ht="15" x14ac:dyDescent="0.25">
      <c r="B72" s="232" t="s">
        <v>272</v>
      </c>
      <c r="C72" s="150" t="str" cm="1">
        <f t="array" ref="C72">IF(B72="","",_xll.BDP($B72,C$9,"fill=b"))</f>
        <v>ECOV12</v>
      </c>
      <c r="D72" s="150" t="str" cm="1">
        <f t="array" ref="D72">IF(B72="","",_xll.BDP($B72,D$9,"fill=b"))</f>
        <v>ECORBZ 3.8 04/15/20</v>
      </c>
      <c r="E72" s="150" t="str" cm="1">
        <f t="array" ref="E72">IF(B72="","",_xll.BDP($B72,E$9,"fill=b"))</f>
        <v>CONCESS ECOVIAS IMIG</v>
      </c>
      <c r="F72" s="150" t="str" cm="1">
        <f t="array" ref="F72">IF(B72="","",IF(LEFT(_xlfn.SINGLE(_xll.BDP($B72,F$9,"fill=b")),1)="#","-",_xll.BDP($B72,F$9,"fill=b")))</f>
        <v>1204213D IM</v>
      </c>
      <c r="G72" s="150" t="str" cm="1">
        <f t="array" ref="G72">IF(B72="","",_xll.BDP($B72,G$9,"fill=b"))</f>
        <v>BRAZIL IPCA+SPREAD</v>
      </c>
      <c r="H72" s="150" t="str" cm="1">
        <f t="array" ref="H72">IF(B72="","",_xll.BDP($B72,H$9,"fill=b"))</f>
        <v/>
      </c>
      <c r="I72" s="150" t="str" cm="1">
        <f t="array" ref="I72">IF(LEFT(_xlfn.SINGLE(_xll.BDP(B72,"REFERENCE_INDEX")),1)="#",IF(LEFT(_xlfn.SINGLE(_xll.BDP(B72, "RESET_IDX"))&amp;" Index",1)="#","",_xlfn.SINGLE(_xll.BDP(B72, "RESET_IDX"))&amp;" Index"),_xll.BDP(B72,"REFERENCE_INDEX"))</f>
        <v>BZCLVLUE Index</v>
      </c>
      <c r="J72" s="150" t="str">
        <f>IF(I72="BZDIOVRA Index",IF(_xll.BDP(B72,"FLT_SPREAD")/100=0,_xll.BDP(B72,"FLT_BENCH_MULTIPLIER"),_xll.BDP(B72,"FLT_SPREAD")/100),"")</f>
        <v/>
      </c>
      <c r="K72" s="150" t="str" cm="1">
        <f t="array" ref="K72">IF(B72="","",IF(LEFT(_xlfn.SINGLE(_xll.BDP($B72,K$9,"fill=b")),1)="#","-",_xll.BDP($B72,K$9,"fill=b")))</f>
        <v>-</v>
      </c>
      <c r="L72" s="233"/>
      <c r="M72" s="234" t="e">
        <f t="shared" si="3"/>
        <v>#VALUE!</v>
      </c>
      <c r="N72" s="252" t="e">
        <f>IF(B72="","",IF(R72="",IF(OR(AD72="SINKABLE",AD72="CALL/SINK"),_xll.BDP(B72,$N$9,$M$9,M72,"PRICING SOURCE",$C$6,"FILL=B"),_xll.BDP(B72,$N$9,$M$9,M72,"PRICING SOURCE",$C$6,"FILL=B")),IF(OR(AD72="SINKABLE",AD72="CALL/SINK"),_xll.BDP(B72,$N$9,$Q$10,S72,$M$9,M72,"PRICING SOURCE",$C$6,"FILL=B"),_xll.BDP(B72,$N$9,$Q$9,S72,$M$9,M72,"PRICING SOURCE",$C$6,"FILL=B"))))</f>
        <v>#VALUE!</v>
      </c>
      <c r="O72" s="235"/>
      <c r="P72" s="236" t="e">
        <f t="shared" si="19"/>
        <v>#VALUE!</v>
      </c>
      <c r="Q72" s="166" t="str">
        <f>IF(ISERROR((IF(OR(AD72="SINKABLE",AD72="CALL/SINK"),_xll.BDP($B72,$Q$10,"fill=b","PRICING_SOURCE",$C$6,$AC72,$N$9,$P72,$M$9,$M72),_xll.BDP($B72,Q$9,"fill=b","PRICING_SOURCE",$C$6,$AC72,$N$9,$P72,$M$9,$M72)))*1),"",IF(OR(AD72="SINKABLE",AD72="CALL/SINK"),_xll.BDP($B72,$Q$10,"fill=b","PRICING_SOURCE",$C$6,$AC72,$N$9,$P72,$M$9,$M72),_xll.BDP($B72,Q$9,"fill=b","PRICING_SOURCE",$C$6,$AC72,$N$9,$P72,$M$9,$M72)))</f>
        <v/>
      </c>
      <c r="R72" s="237"/>
      <c r="S72" s="238" t="str">
        <f t="shared" si="20"/>
        <v/>
      </c>
      <c r="T72" s="239" cm="1">
        <f t="array" ref="T72">IF(ISERROR((_xlfn.SINGLE(IF(OR(AD72="SINKABLE",AD72="CALL/SINK"),_xll.BDP($B72,$Q$10,"fill=b","PRICING_SOURCE",$C$6,$AC72,$M$9,$U72,"px ask",$AE72),_xll.BDP($B72,Q$9,"fill=b","PRICING_SOURCE",$C$6,$AC72,$M$9,$U72,"px ask",$AE72))))*1),"",IF(OR(AD72="SINKABLE",AD72="CALL/SINK"),_xll.BDP($B72,$Q$10,"fill=b","PRICING_SOURCE",$C$6,$AC72,$M$9,$U72,"px ask",$AE72),_xll.BDP($B72,Q$9,"fill=b","PRICING_SOURCE",$C$6,$AC72,$M$9,$U72,"px ask",$AE72)))</f>
        <v>64.799990673748752</v>
      </c>
      <c r="U72" s="240" t="str">
        <f t="shared" si="13"/>
        <v>20130507</v>
      </c>
      <c r="V72" s="254" t="e" cm="1">
        <f t="array" ref="V72">IF(B72="","",IF(I72="BZDIOVRA Index",IF(OR(AD72="SINKABLE",AD72="CALL/SINK"),_xll.BDP($B72,"PX_ASK",$Q$10,J72,$M$9,M72),_xll.BDP($B72,"PX_"&amp;$H$7,$Q$9,J72,$M$9,M72)),_xll.BDP($B72,"PX_"&amp;$H$7,$Q$9,_xll.BDP(B72,"CPN"),$M$9,M72)))</f>
        <v>#VALUE!</v>
      </c>
      <c r="W72" s="254" t="str">
        <f t="shared" si="14"/>
        <v/>
      </c>
      <c r="X72" s="166" t="e">
        <f>IF(B72="","",IF(OR(AD72="SINKABLE",AD72="CALL/SINK"),_xll.BDP($B72,X$9,"fill=b","PRICING_SOURCE",$C$6,$AC72,$M$9,$M72,$N$9,$P72,$Q$10,$S72),_xll.BDP($B72,X$9,"fill=b","PRICING_SOURCE",$C$6,$AC72,$M$9,$M72,$N$9,$P72,$Q$9,$S72)))</f>
        <v>#VALUE!</v>
      </c>
      <c r="Y72" s="166" t="e">
        <f>IF(B72="","",IF(OR(AD72="SINKABLE",AD72="CALL/SINK"),_xll.BDP($B72,Y$9,"fill=b","PRICING_SOURCE",$C$6,$AC72,$M$9,$M72,$N$9,$P72,$Q$10,$S72),_xll.BDP($B72,Y$9,"fill=b","PRICING_SOURCE",$C$6,$AC72,$M$9,$M72,$N$9,$P72,$Q$9,$S72)))</f>
        <v>#VALUE!</v>
      </c>
      <c r="Z72" s="255" t="e">
        <f>IF(B72="","",IF(OR(AD72="SINKABLE",AD72="CALL/SINK"),_xll.BDP($B72,Z$9,"fill=b","PRICING_SOURCE",$C$6,$AC72,$M$9,$M72,$N$9,$P72,$Q$10,$S72),_xll.BDP($B72,Z$9,"fill=b","PRICING_SOURCE",$C$6,$AC72,$M$9,$M72,$N$9,$P72,$Q$9,$S72)))</f>
        <v>#VALUE!</v>
      </c>
      <c r="AA72" s="166" t="e">
        <f>IF(B72="","",IF(OR(AD72="SINKABLE",AD72="CALL/SINK"),_xll.BDP($B72,AA$9,"fill=b","PRICING_SOURCE",$C$6,$AC72,$M$9,$M72,$N$9,$P72,$Q$10,$S72),_xll.BDP($B72,AA$9,"fill=b","PRICING_SOURCE",$C$6,$AC72,$M$9,$M72,$N$9,$P72,$Q$9,$S72)))</f>
        <v>#VALUE!</v>
      </c>
      <c r="AB72" s="150" t="str" cm="1">
        <f t="array" ref="AB72">IF(B72="","",IF(LEFT(_xlfn.SINGLE(_xll.BDP($B72,AB$9,"fill=b")),1)="#","-",_xll.BDP($B72,AB$9,"fill=b")))</f>
        <v>4/15/2020</v>
      </c>
      <c r="AC72" s="150" t="str">
        <f t="shared" si="21"/>
        <v>YLD FLAG=28</v>
      </c>
      <c r="AD72" s="150" t="str" cm="1">
        <f t="array" ref="AD72">IF(B72="","",_xll.BDP($B72,AD$9,"fill=b"))</f>
        <v>SINKABLE</v>
      </c>
      <c r="AE72" s="256" cm="1">
        <f t="array" ref="AE72">IF(B72="","",IF(ISERROR(_xlfn.SINGLE(_xll.BDH(B72,"PX LAST",AN72,AN72,"DAYS=ALL","PRICING SOURCE",$C$6))*1),_xll.BDP(B72,"PAR AMT"),_xll.BDH(B72,"PX LAST",AN72,AN72,"DAYS=ALL","PRICING SOURCE",$C$6)))</f>
        <v>500</v>
      </c>
      <c r="AF72" s="150" cm="1">
        <f t="array" ref="AF72">IF(B72="","",_xll.BDP($B72,AF$9,"fill=b"))</f>
        <v>3.8</v>
      </c>
      <c r="AG72" s="150"/>
      <c r="AH72" s="190">
        <f>IF(B72="","",IF($AD72="AT MATURITY",$AB72*1,_xll.BADDPERIODS(_xll.BDP($B72,"issue dt"),"numberofperiods",TRUNC(_xll.BDP($B72,"YRS_TO_LONGEST_AVG_LIFE","YLD_YTM_BID",AF72,"SETTLE_DT",U72,AC72),0),"per=y")+(ROUND(MOD(_xll.BDP(B72,"YRS_TO_LONGEST_AVG_LIFE","YLD_YTM_BID",AF72,"SETTLE_DT",U72,AC72),1)*360,0))))</f>
        <v>65014</v>
      </c>
      <c r="AI72" s="150" t="e" cm="1">
        <f t="array" ref="AI72">IF(B72="","",AF72-_xll.BInterpol(_xll.BDP(_xll.BDS("YCGT0372 Index","curve members","CURVE_DATE", $U72,"endcol=1","array=true"),"maturity")*1,_xll.BDH(_xll.BDS("YCGT0372 Index","curve members","CURVE_DATE", $U72,"endcol=1","array=true"),"yld cnv mid",$U72,$U72,"days=all"),AH72,"CUBIC","Extrapolate=LINEAR","SKIP=TRUE","SORT=TRUE","MultiX=Average"))</f>
        <v>#VALUE!</v>
      </c>
      <c r="AJ72" s="189" t="str">
        <f t="shared" si="15"/>
        <v/>
      </c>
      <c r="AK72" s="257" t="str" cm="1">
        <f t="array" ref="AK72">IF(B72="","",_xll.BDP($B72,AK$9,"fill=b"))</f>
        <v>200MM</v>
      </c>
      <c r="AL72" s="257" t="str" cm="1">
        <f t="array" ref="AL72">IF(B72="","",_xll.BDP($B72,AL$9,"fill=b"))</f>
        <v>0</v>
      </c>
      <c r="AM72" s="256" cm="1">
        <f t="array" ref="AM72">IF(B72="","",_xll.BDP($B72,AM$9,"fill=b"))</f>
        <v>500</v>
      </c>
      <c r="AN72" s="150" t="str" cm="1">
        <f t="array" ref="AN72">IF(B72="","",_xll.BDP($B72,AN$9,"fill=b"))</f>
        <v>5/7/2013</v>
      </c>
      <c r="AO72" s="150" t="str" cm="1">
        <f t="array" ref="AO72">IF(B72="","",IF(LEFT(_xlfn.SINGLE(_xll.BDP($B72,AO$9,"fill=b")),1)="#","-",_xll.BDP($B72,AO$9,"fill=b")))</f>
        <v>JOINT LEADS</v>
      </c>
      <c r="AP72" s="150" t="str" cm="1">
        <f t="array" ref="AP72">IF(B72="","",_xll.BDP($B72,AP$9,"fill=b"))</f>
        <v>Consumer, Non-cyclical</v>
      </c>
      <c r="AQ72" s="150" t="str" cm="1">
        <f t="array" ref="AQ72">IF(B72="","",_xll.BDP($B72,AQ$9,"fill=b"))</f>
        <v>Commercial Services</v>
      </c>
      <c r="AR72" s="150" t="str" cm="1">
        <f t="array" ref="AR72">IF(B72="","",_xll.BDP($B72,AR$9,"fill=b"))</f>
        <v>NR</v>
      </c>
      <c r="AS72" s="150" t="str" cm="1">
        <f t="array" ref="AS72">IF(B72="","",_xll.BDP($B72,AS$9,"fill=b"))</f>
        <v/>
      </c>
      <c r="AT72" s="150" t="str" cm="1">
        <f t="array" ref="AT72">IF(B72="","",_xll.BDP($B72,AT$9,"fill=b"))</f>
        <v/>
      </c>
      <c r="AU72" s="258" t="str" cm="1">
        <f t="array" ref="AU72">IF(B72="","",_xll.BDP($B72,AU$9,"fill=b"))</f>
        <v>CPN = BZCLVLUE INDEX + 380 BPS. ISSUED UNDER LAW 12.431.</v>
      </c>
    </row>
    <row r="73" spans="2:47" ht="15" x14ac:dyDescent="0.25">
      <c r="B73" s="232" t="s">
        <v>307</v>
      </c>
      <c r="C73" s="150" t="str" cm="1">
        <f t="array" ref="C73">IF(B73="","",_xll.BDP($B73,C$9,"fill=b"))</f>
        <v>TFBR14</v>
      </c>
      <c r="D73" s="150" t="str" cm="1">
        <f t="array" ref="D73">IF(B73="","",_xll.BDP($B73,D$9,"fill=b"))</f>
        <v>VIVOBZ Float 04/25/18</v>
      </c>
      <c r="E73" s="150" t="str" cm="1">
        <f t="array" ref="E73">IF(B73="","",_xll.BDP($B73,E$9,"fill=b"))</f>
        <v>TELEFONICA BRASIL SA</v>
      </c>
      <c r="F73" s="150" t="str" cm="1">
        <f t="array" ref="F73">IF(B73="","",IF(LEFT(_xlfn.SINGLE(_xll.BDP($B73,F$9,"fill=b")),1)="#","-",_xll.BDP($B73,F$9,"fill=b")))</f>
        <v>TEF SM</v>
      </c>
      <c r="G73" s="150" t="str" cm="1">
        <f t="array" ref="G73">IF(B73="","",_xll.BDP($B73,G$9,"fill=b"))</f>
        <v>BRAZIL DI+SPREAD</v>
      </c>
      <c r="H73" s="150" t="str" cm="1">
        <f t="array" ref="H73">IF(B73="","",_xll.BDP($B73,H$9,"fill=b"))</f>
        <v>OVRA BZDI +68.000</v>
      </c>
      <c r="I73" s="150" t="str" cm="1">
        <f t="array" ref="I73">IF(LEFT(_xlfn.SINGLE(_xll.BDP(B73,"REFERENCE_INDEX")),1)="#",IF(LEFT(_xlfn.SINGLE(_xll.BDP(B73, "RESET_IDX"))&amp;" Index",1)="#","",_xlfn.SINGLE(_xll.BDP(B73, "RESET_IDX"))&amp;" Index"),_xll.BDP(B73,"REFERENCE_INDEX"))</f>
        <v>BZDIOVRA Index</v>
      </c>
      <c r="J73" s="150" cm="1">
        <f t="array" ref="J73">IF(I73="BZDIOVRA Index",IF(_xlfn.SINGLE(_xll.BDP(B73,"FLT_SPREAD"))/100=0,_xll.BDP(B73,"FLT_BENCH_MULTIPLIER"),_xlfn.SINGLE(_xll.BDP(B73,"FLT_SPREAD"))/100),"")</f>
        <v>0.68</v>
      </c>
      <c r="K73" s="150" t="str" cm="1">
        <f t="array" ref="K73">IF(B73="","",IF(LEFT(_xlfn.SINGLE(_xll.BDP($B73,K$9,"fill=b")),1)="#","-",_xll.BDP($B73,K$9,"fill=b")))</f>
        <v>-</v>
      </c>
      <c r="L73" s="233"/>
      <c r="M73" s="234" t="e">
        <f t="shared" si="3"/>
        <v>#VALUE!</v>
      </c>
      <c r="N73" s="252" t="e">
        <f>IF(B73="","",IF(R73="",IF(OR(AD73="SINKABLE",AD73="CALL/SINK"),_xll.BDP(B73,$N$9,$M$9,M73,"PRICING SOURCE",$C$6,"FILL=B"),_xll.BDP(B73,$N$9,$M$9,M73,"PRICING SOURCE",$C$6,"FILL=B")),IF(OR(AD73="SINKABLE",AD73="CALL/SINK"),_xll.BDP(B73,$N$9,$Q$10,S73,$M$9,M73,"PRICING SOURCE",$C$6,"FILL=B"),_xll.BDP(B73,$N$9,$Q$9,S73,$M$9,M73,"PRICING SOURCE",$C$6,"FILL=B"))))</f>
        <v>#VALUE!</v>
      </c>
      <c r="O73" s="235"/>
      <c r="P73" s="236" t="e">
        <f t="shared" si="19"/>
        <v>#VALUE!</v>
      </c>
      <c r="Q73" s="166" t="str">
        <f>IF(ISERROR((IF(OR(AD73="SINKABLE",AD73="CALL/SINK"),_xll.BDP($B73,$Q$10,"fill=b","PRICING_SOURCE",$C$6,$AC73,$N$9,$P73,$M$9,$M73),_xll.BDP($B73,Q$9,"fill=b","PRICING_SOURCE",$C$6,$AC73,$N$9,$P73,$M$9,$M73)))*1),"",IF(OR(AD73="SINKABLE",AD73="CALL/SINK"),_xll.BDP($B73,$Q$10,"fill=b","PRICING_SOURCE",$C$6,$AC73,$N$9,$P73,$M$9,$M73),_xll.BDP($B73,Q$9,"fill=b","PRICING_SOURCE",$C$6,$AC73,$N$9,$P73,$M$9,$M73)))</f>
        <v/>
      </c>
      <c r="R73" s="237"/>
      <c r="S73" s="238" t="str">
        <f t="shared" si="20"/>
        <v/>
      </c>
      <c r="T73" s="239" cm="1">
        <f t="array" ref="T73">IF(ISERROR((_xlfn.SINGLE(IF(OR(AD73="SINKABLE",AD73="CALL/SINK"),_xll.BDP($B73,$Q$10,"fill=b","PRICING_SOURCE",$C$6,$AC73,$M$9,$U73,"px ask",$AE73),_xll.BDP($B73,Q$9,"fill=b","PRICING_SOURCE",$C$6,$AC73,$M$9,$U73,"px ask",$AE73))))*1),"",IF(OR(AD73="SINKABLE",AD73="CALL/SINK"),_xll.BDP($B73,$Q$10,"fill=b","PRICING_SOURCE",$C$6,$AC73,$M$9,$U73,"px ask",$AE73),_xll.BDP($B73,Q$9,"fill=b","PRICING_SOURCE",$C$6,$AC73,$M$9,$U73,"px ask",$AE73)))</f>
        <v>0.70732341665802168</v>
      </c>
      <c r="U73" s="240" t="str">
        <f t="shared" si="13"/>
        <v>20130430</v>
      </c>
      <c r="V73" s="254" t="e" cm="1">
        <f t="array" ref="V73">IF(B73="","",IF(I73="BZDIOVRA Index",IF(OR(AD73="SINKABLE",AD73="CALL/SINK"),_xll.BDP($B73,"PX_ASK",$Q$10,J73,$M$9,M73),_xll.BDP($B73,"PX_"&amp;$H$7,$Q$9,J73,$M$9,M73)),_xll.BDP($B73,"PX_"&amp;$H$7,$Q$9,_xll.BDP(B73,"CPN"),$M$9,M73)))</f>
        <v>#VALUE!</v>
      </c>
      <c r="W73" s="254" t="str">
        <f t="shared" si="14"/>
        <v/>
      </c>
      <c r="X73" s="166" t="e">
        <f>IF(B73="","",IF(OR(AD73="SINKABLE",AD73="CALL/SINK"),_xll.BDP($B73,X$9,"fill=b","PRICING_SOURCE",$C$6,$AC73,$M$9,$M73,$N$9,$P73,$Q$10,$S73),_xll.BDP($B73,X$9,"fill=b","PRICING_SOURCE",$C$6,$AC73,$M$9,$M73,$N$9,$P73,$Q$9,$S73)))</f>
        <v>#VALUE!</v>
      </c>
      <c r="Y73" s="166" t="e">
        <f>IF(B73="","",IF(OR(AD73="SINKABLE",AD73="CALL/SINK"),_xll.BDP($B73,Y$9,"fill=b","PRICING_SOURCE",$C$6,$AC73,$M$9,$M73,$N$9,$P73,$Q$10,$S73),_xll.BDP($B73,Y$9,"fill=b","PRICING_SOURCE",$C$6,$AC73,$M$9,$M73,$N$9,$P73,$Q$9,$S73)))</f>
        <v>#VALUE!</v>
      </c>
      <c r="Z73" s="255" t="e">
        <f>IF(B73="","",IF(OR(AD73="SINKABLE",AD73="CALL/SINK"),_xll.BDP($B73,Z$9,"fill=b","PRICING_SOURCE",$C$6,$AC73,$M$9,$M73,$N$9,$P73,$Q$10,$S73),_xll.BDP($B73,Z$9,"fill=b","PRICING_SOURCE",$C$6,$AC73,$M$9,$M73,$N$9,$P73,$Q$9,$S73)))</f>
        <v>#VALUE!</v>
      </c>
      <c r="AA73" s="166" t="e">
        <f>IF(B73="","",IF(OR(AD73="SINKABLE",AD73="CALL/SINK"),_xll.BDP($B73,AA$9,"fill=b","PRICING_SOURCE",$C$6,$AC73,$M$9,$M73,$N$9,$P73,$Q$10,$S73),_xll.BDP($B73,AA$9,"fill=b","PRICING_SOURCE",$C$6,$AC73,$M$9,$M73,$N$9,$P73,$Q$9,$S73)))</f>
        <v>#VALUE!</v>
      </c>
      <c r="AB73" s="150" t="str" cm="1">
        <f t="array" ref="AB73">IF(B73="","",IF(LEFT(_xlfn.SINGLE(_xll.BDP($B73,AB$9,"fill=b")),1)="#","-",_xll.BDP($B73,AB$9,"fill=b")))</f>
        <v>4/25/2018</v>
      </c>
      <c r="AC73" s="150" t="str">
        <f t="shared" si="21"/>
        <v>YLD FLAG=1</v>
      </c>
      <c r="AD73" s="150" t="str" cm="1">
        <f t="array" ref="AD73">IF(B73="","",_xll.BDP($B73,AD$9,"fill=b"))</f>
        <v>CALLABLE</v>
      </c>
      <c r="AE73" s="256" cm="1">
        <f t="array" ref="AE73">IF(B73="","",IF(ISERROR(_xlfn.SINGLE(_xll.BDH(B73,"PX LAST",AN73,AN73,"DAYS=ALL","PRICING SOURCE",$C$6))*1),_xll.BDP(B73,"PAR AMT"),_xll.BDH(B73,"PX LAST",AN73,AN73,"DAYS=ALL","PRICING SOURCE",$C$6)))</f>
        <v>10000</v>
      </c>
      <c r="AF73" s="150" cm="1">
        <f t="array" ref="AF73">IF(B73="","",_xll.BDP($B73,AF$9,"fill=b"))</f>
        <v>3.6351334</v>
      </c>
      <c r="AG73" s="150"/>
      <c r="AH73" s="190">
        <f>IF(B73="","",IF($AD73="AT MATURITY",$AB73*1,_xll.BADDPERIODS(_xll.BDP($B73,"issue dt"),"numberofperiods",TRUNC(_xll.BDP($B73,"YRS_TO_LONGEST_AVG_LIFE","YLD_YTM_BID",AF73,"SETTLE_DT",U73,AC73),0),"per=y")+(ROUND(MOD(_xll.BDP(B73,"YRS_TO_LONGEST_AVG_LIFE","YLD_YTM_BID",AF73,"SETTLE_DT",U73,AC73),1)*360,0))))</f>
        <v>43212</v>
      </c>
      <c r="AI73" s="150" t="e" cm="1">
        <f t="array" ref="AI73">IF(B73="","",AF73-_xll.BInterpol(_xll.BDP(_xll.BDS("YCGT0372 Index","curve members","CURVE_DATE", $U73,"endcol=1","array=true"),"maturity")*1,_xll.BDH(_xll.BDS("YCGT0372 Index","curve members","CURVE_DATE", $U73,"endcol=1","array=true"),"yld cnv mid",$U73,$U73,"days=all"),AH73,"CUBIC","Extrapolate=LINEAR","SKIP=TRUE","SORT=TRUE","MultiX=Average"))</f>
        <v>#VALUE!</v>
      </c>
      <c r="AJ73" s="189">
        <f t="shared" si="15"/>
        <v>0.68</v>
      </c>
      <c r="AK73" s="257" t="str" cm="1">
        <f t="array" ref="AK73">IF(B73="","",_xll.BDP($B73,AK$9,"fill=b"))</f>
        <v>1.3MMM</v>
      </c>
      <c r="AL73" s="257" t="str" cm="1">
        <f t="array" ref="AL73">IF(B73="","",_xll.BDP($B73,AL$9,"fill=b"))</f>
        <v>0</v>
      </c>
      <c r="AM73" s="256" cm="1">
        <f t="array" ref="AM73">IF(B73="","",_xll.BDP($B73,AM$9,"fill=b"))</f>
        <v>10000</v>
      </c>
      <c r="AN73" s="150" t="str" cm="1">
        <f t="array" ref="AN73">IF(B73="","",_xll.BDP($B73,AN$9,"fill=b"))</f>
        <v>4/30/2013</v>
      </c>
      <c r="AO73" s="150" t="str" cm="1">
        <f t="array" ref="AO73">IF(B73="","",IF(LEFT(_xlfn.SINGLE(_xll.BDP($B73,AO$9,"fill=b")),1)="#","-",_xll.BDP($B73,AO$9,"fill=b")))</f>
        <v>ITABBA</v>
      </c>
      <c r="AP73" s="150" t="str" cm="1">
        <f t="array" ref="AP73">IF(B73="","",_xll.BDP($B73,AP$9,"fill=b"))</f>
        <v>Communications</v>
      </c>
      <c r="AQ73" s="150" t="str" cm="1">
        <f t="array" ref="AQ73">IF(B73="","",_xll.BDP($B73,AQ$9,"fill=b"))</f>
        <v>Telecommunications</v>
      </c>
      <c r="AR73" s="150" t="str" cm="1">
        <f t="array" ref="AR73">IF(B73="","",_xll.BDP($B73,AR$9,"fill=b"))</f>
        <v>NR</v>
      </c>
      <c r="AS73" s="150" t="str" cm="1">
        <f t="array" ref="AS73">IF(B73="","",_xll.BDP($B73,AS$9,"fill=b"))</f>
        <v>WR</v>
      </c>
      <c r="AT73" s="150" t="str" cm="1">
        <f t="array" ref="AT73">IF(B73="","",_xll.BDP($B73,AT$9,"fill=b"))</f>
        <v/>
      </c>
      <c r="AU73" s="258" t="str" cm="1">
        <f t="array" ref="AU73">IF(B73="","",_xll.BDP($B73,AU$9,"fill=b"))</f>
        <v>CPN = BZDIOVRA INDEX + 68 BPS. ISSUED UNDER ICVM 476/09.</v>
      </c>
    </row>
    <row r="74" spans="2:47" ht="15" x14ac:dyDescent="0.25">
      <c r="B74" s="232" t="s">
        <v>252</v>
      </c>
      <c r="C74" s="150" t="str" cm="1">
        <f t="array" ref="C74">IF(B74="","",_xll.BDP($B74,C$9,"fill=b"))</f>
        <v>ECOV22</v>
      </c>
      <c r="D74" s="150" t="str" cm="1">
        <f t="array" ref="D74">IF(B74="","",_xll.BDP($B74,D$9,"fill=b"))</f>
        <v>ECORBZ 4.28 04/15/24</v>
      </c>
      <c r="E74" s="150" t="str" cm="1">
        <f t="array" ref="E74">IF(B74="","",_xll.BDP($B74,E$9,"fill=b"))</f>
        <v>CONCESS ECOVIAS IMIG</v>
      </c>
      <c r="F74" s="150" t="str" cm="1">
        <f t="array" ref="F74">IF(B74="","",IF(LEFT(_xlfn.SINGLE(_xll.BDP($B74,F$9,"fill=b")),1)="#","-",_xll.BDP($B74,F$9,"fill=b")))</f>
        <v>1204213D IM</v>
      </c>
      <c r="G74" s="150" t="str" cm="1">
        <f t="array" ref="G74">IF(B74="","",_xll.BDP($B74,G$9,"fill=b"))</f>
        <v>BRAZIL IPCA+SPREAD</v>
      </c>
      <c r="H74" s="150" t="str" cm="1">
        <f t="array" ref="H74">IF(B74="","",_xll.BDP($B74,H$9,"fill=b"))</f>
        <v/>
      </c>
      <c r="I74" s="150" t="str" cm="1">
        <f t="array" ref="I74">IF(LEFT(_xlfn.SINGLE(_xll.BDP(B74,"REFERENCE_INDEX")),1)="#",IF(LEFT(_xlfn.SINGLE(_xll.BDP(B74, "RESET_IDX"))&amp;" Index",1)="#","",_xlfn.SINGLE(_xll.BDP(B74, "RESET_IDX"))&amp;" Index"),_xll.BDP(B74,"REFERENCE_INDEX"))</f>
        <v>BZCLVLUE Index</v>
      </c>
      <c r="J74" s="150" t="str">
        <f>IF(I74="BZDIOVRA Index",IF(_xll.BDP(B74,"FLT_SPREAD")/100=0,_xll.BDP(B74,"FLT_BENCH_MULTIPLIER"),_xll.BDP(B74,"FLT_SPREAD")/100),"")</f>
        <v/>
      </c>
      <c r="K74" s="150" t="str" cm="1">
        <f t="array" ref="K74">IF(B74="","",IF(LEFT(_xlfn.SINGLE(_xll.BDP($B74,K$9,"fill=b")),1)="#","-",_xll.BDP($B74,K$9,"fill=b")))</f>
        <v>-</v>
      </c>
      <c r="L74" s="233"/>
      <c r="M74" s="234" t="e">
        <f t="shared" si="3"/>
        <v>#VALUE!</v>
      </c>
      <c r="N74" s="252" t="e">
        <f>IF(B74="","",IF(R74="",IF(OR(AD74="SINKABLE",AD74="CALL/SINK"),_xll.BDP(B74,$N$9,$M$9,M74,"PRICING SOURCE",$C$6,"FILL=B"),_xll.BDP(B74,$N$9,$M$9,M74,"PRICING SOURCE",$C$6,"FILL=B")),IF(OR(AD74="SINKABLE",AD74="CALL/SINK"),_xll.BDP(B74,$N$9,$Q$10,S74,$M$9,M74,"PRICING SOURCE",$C$6,"FILL=B"),_xll.BDP(B74,$N$9,$Q$9,S74,$M$9,M74,"PRICING SOURCE",$C$6,"FILL=B"))))</f>
        <v>#VALUE!</v>
      </c>
      <c r="O74" s="235"/>
      <c r="P74" s="236" t="e">
        <f t="shared" si="19"/>
        <v>#VALUE!</v>
      </c>
      <c r="Q74" s="166" t="str">
        <f>IF(ISERROR((IF(OR(AD74="SINKABLE",AD74="CALL/SINK"),_xll.BDP($B74,$Q$10,"fill=b","PRICING_SOURCE",$C$6,$AC74,$N$9,$P74,$M$9,$M74),_xll.BDP($B74,Q$9,"fill=b","PRICING_SOURCE",$C$6,$AC74,$N$9,$P74,$M$9,$M74)))*1),"",IF(OR(AD74="SINKABLE",AD74="CALL/SINK"),_xll.BDP($B74,$Q$10,"fill=b","PRICING_SOURCE",$C$6,$AC74,$N$9,$P74,$M$9,$M74),_xll.BDP($B74,Q$9,"fill=b","PRICING_SOURCE",$C$6,$AC74,$N$9,$P74,$M$9,$M74)))</f>
        <v/>
      </c>
      <c r="R74" s="237"/>
      <c r="S74" s="238" t="str">
        <f t="shared" si="20"/>
        <v/>
      </c>
      <c r="T74" s="239" cm="1">
        <f t="array" ref="T74">IF(ISERROR((_xlfn.SINGLE(IF(OR(AD74="SINKABLE",AD74="CALL/SINK"),_xll.BDP($B74,$Q$10,"fill=b","PRICING_SOURCE",$C$6,$AC74,$M$9,$U74,"px ask",$AE74),_xll.BDP($B74,Q$9,"fill=b","PRICING_SOURCE",$C$6,$AC74,$M$9,$U74,"px ask",$AE74))))*1),"",IF(OR(AD74="SINKABLE",AD74="CALL/SINK"),_xll.BDP($B74,$Q$10,"fill=b","PRICING_SOURCE",$C$6,$AC74,$M$9,$U74,"px ask",$AE74),_xll.BDP($B74,Q$9,"fill=b","PRICING_SOURCE",$C$6,$AC74,$M$9,$U74,"px ask",$AE74)))</f>
        <v>52.012725126575987</v>
      </c>
      <c r="U74" s="240" t="str">
        <f t="shared" si="13"/>
        <v>20130507</v>
      </c>
      <c r="V74" s="254" t="e" cm="1">
        <f t="array" ref="V74">IF(B74="","",IF(I74="BZDIOVRA Index",IF(OR(AD74="SINKABLE",AD74="CALL/SINK"),_xll.BDP($B74,"PX_ASK",$Q$10,J74,$M$9,M74),_xll.BDP($B74,"PX_"&amp;$H$7,$Q$9,J74,$M$9,M74)),_xll.BDP($B74,"PX_"&amp;$H$7,$Q$9,_xll.BDP(B74,"CPN"),$M$9,M74)))</f>
        <v>#VALUE!</v>
      </c>
      <c r="W74" s="254" t="str">
        <f t="shared" si="14"/>
        <v/>
      </c>
      <c r="X74" s="166" t="e">
        <f>IF(B74="","",IF(OR(AD74="SINKABLE",AD74="CALL/SINK"),_xll.BDP($B74,X$9,"fill=b","PRICING_SOURCE",$C$6,$AC74,$M$9,$M74,$N$9,$P74,$Q$10,$S74),_xll.BDP($B74,X$9,"fill=b","PRICING_SOURCE",$C$6,$AC74,$M$9,$M74,$N$9,$P74,$Q$9,$S74)))</f>
        <v>#VALUE!</v>
      </c>
      <c r="Y74" s="166" t="e">
        <f>IF(B74="","",IF(OR(AD74="SINKABLE",AD74="CALL/SINK"),_xll.BDP($B74,Y$9,"fill=b","PRICING_SOURCE",$C$6,$AC74,$M$9,$M74,$N$9,$P74,$Q$10,$S74),_xll.BDP($B74,Y$9,"fill=b","PRICING_SOURCE",$C$6,$AC74,$M$9,$M74,$N$9,$P74,$Q$9,$S74)))</f>
        <v>#VALUE!</v>
      </c>
      <c r="Z74" s="255" t="e">
        <f>IF(B74="","",IF(OR(AD74="SINKABLE",AD74="CALL/SINK"),_xll.BDP($B74,Z$9,"fill=b","PRICING_SOURCE",$C$6,$AC74,$M$9,$M74,$N$9,$P74,$Q$10,$S74),_xll.BDP($B74,Z$9,"fill=b","PRICING_SOURCE",$C$6,$AC74,$M$9,$M74,$N$9,$P74,$Q$9,$S74)))</f>
        <v>#VALUE!</v>
      </c>
      <c r="AA74" s="166" t="e">
        <f>IF(B74="","",IF(OR(AD74="SINKABLE",AD74="CALL/SINK"),_xll.BDP($B74,AA$9,"fill=b","PRICING_SOURCE",$C$6,$AC74,$M$9,$M74,$N$9,$P74,$Q$10,$S74),_xll.BDP($B74,AA$9,"fill=b","PRICING_SOURCE",$C$6,$AC74,$M$9,$M74,$N$9,$P74,$Q$9,$S74)))</f>
        <v>#VALUE!</v>
      </c>
      <c r="AB74" s="150" t="str" cm="1">
        <f t="array" ref="AB74">IF(B74="","",IF(LEFT(_xlfn.SINGLE(_xll.BDP($B74,AB$9,"fill=b")),1)="#","-",_xll.BDP($B74,AB$9,"fill=b")))</f>
        <v>4/15/2024</v>
      </c>
      <c r="AC74" s="150" t="str">
        <f t="shared" si="21"/>
        <v>YLD FLAG=28</v>
      </c>
      <c r="AD74" s="150" t="str" cm="1">
        <f t="array" ref="AD74">IF(B74="","",_xll.BDP($B74,AD$9,"fill=b"))</f>
        <v>SINKABLE</v>
      </c>
      <c r="AE74" s="256" cm="1">
        <f t="array" ref="AE74">IF(B74="","",IF(ISERROR(_xlfn.SINGLE(_xll.BDH(B74,"PX LAST",AN74,AN74,"DAYS=ALL","PRICING SOURCE",$C$6))*1),_xll.BDP(B74,"PAR AMT"),_xll.BDH(B74,"PX LAST",AN74,AN74,"DAYS=ALL","PRICING SOURCE",$C$6)))</f>
        <v>333.40000000000003</v>
      </c>
      <c r="AF74" s="150" cm="1">
        <f t="array" ref="AF74">IF(B74="","",_xll.BDP($B74,AF$9,"fill=b"))</f>
        <v>4.28</v>
      </c>
      <c r="AG74" s="150"/>
      <c r="AH74" s="190">
        <f>IF(B74="","",IF($AD74="AT MATURITY",$AB74*1,_xll.BADDPERIODS(_xll.BDP($B74,"issue dt"),"numberofperiods",TRUNC(_xll.BDP($B74,"YRS_TO_LONGEST_AVG_LIFE","YLD_YTM_BID",AF74,"SETTLE_DT",U74,AC74),0),"per=y")+(ROUND(MOD(_xll.BDP(B74,"YRS_TO_LONGEST_AVG_LIFE","YLD_YTM_BID",AF74,"SETTLE_DT",U74,AC74),1)*360,0))))</f>
        <v>77867</v>
      </c>
      <c r="AI74" s="150" t="e" cm="1">
        <f t="array" ref="AI74">IF(B74="","",AF74-_xll.BInterpol(_xll.BDP(_xll.BDS("YCGT0372 Index","curve members","CURVE_DATE", $U74,"endcol=1","array=true"),"maturity")*1,_xll.BDH(_xll.BDS("YCGT0372 Index","curve members","CURVE_DATE", $U74,"endcol=1","array=true"),"yld cnv mid",$U74,$U74,"days=all"),AH74,"CUBIC","Extrapolate=LINEAR","SKIP=TRUE","SORT=TRUE","MultiX=Average"))</f>
        <v>#VALUE!</v>
      </c>
      <c r="AJ74" s="189" t="str">
        <f t="shared" si="15"/>
        <v/>
      </c>
      <c r="AK74" s="257" t="str" cm="1">
        <f t="array" ref="AK74">IF(B74="","",_xll.BDP($B74,AK$9,"fill=b"))</f>
        <v>681MM</v>
      </c>
      <c r="AL74" s="257" t="str" cm="1">
        <f t="array" ref="AL74">IF(B74="","",_xll.BDP($B74,AL$9,"fill=b"))</f>
        <v>0</v>
      </c>
      <c r="AM74" s="256" cm="1">
        <f t="array" ref="AM74">IF(B74="","",_xll.BDP($B74,AM$9,"fill=b"))</f>
        <v>333.40000000000003</v>
      </c>
      <c r="AN74" s="150" t="str" cm="1">
        <f t="array" ref="AN74">IF(B74="","",_xll.BDP($B74,AN$9,"fill=b"))</f>
        <v>5/7/2013</v>
      </c>
      <c r="AO74" s="150" t="str" cm="1">
        <f t="array" ref="AO74">IF(B74="","",IF(LEFT(_xlfn.SINGLE(_xll.BDP($B74,AO$9,"fill=b")),1)="#","-",_xll.BDP($B74,AO$9,"fill=b")))</f>
        <v>JOINT LEADS</v>
      </c>
      <c r="AP74" s="150" t="str" cm="1">
        <f t="array" ref="AP74">IF(B74="","",_xll.BDP($B74,AP$9,"fill=b"))</f>
        <v>Consumer, Non-cyclical</v>
      </c>
      <c r="AQ74" s="150" t="str" cm="1">
        <f t="array" ref="AQ74">IF(B74="","",_xll.BDP($B74,AQ$9,"fill=b"))</f>
        <v>Commercial Services</v>
      </c>
      <c r="AR74" s="150" t="str" cm="1">
        <f t="array" ref="AR74">IF(B74="","",_xll.BDP($B74,AR$9,"fill=b"))</f>
        <v>NR</v>
      </c>
      <c r="AS74" s="150" t="str" cm="1">
        <f t="array" ref="AS74">IF(B74="","",_xll.BDP($B74,AS$9,"fill=b"))</f>
        <v/>
      </c>
      <c r="AT74" s="150" t="str" cm="1">
        <f t="array" ref="AT74">IF(B74="","",_xll.BDP($B74,AT$9,"fill=b"))</f>
        <v/>
      </c>
      <c r="AU74" s="258" t="str" cm="1">
        <f t="array" ref="AU74">IF(B74="","",_xll.BDP($B74,AU$9,"fill=b"))</f>
        <v>CPN = BZCLVLUE INDEX + 428BPS. ISSUED UNDER LAW 12.431.</v>
      </c>
    </row>
    <row r="75" spans="2:47" ht="15" x14ac:dyDescent="0.25">
      <c r="B75" s="232" t="s">
        <v>311</v>
      </c>
      <c r="C75" s="150" t="str" cm="1">
        <f t="array" ref="C75">IF(B75="","",_xll.BDP($B75,C$9,"fill=b"))</f>
        <v>RDCO14</v>
      </c>
      <c r="D75" s="150" t="str" cm="1">
        <f t="array" ref="D75">IF(B75="","",_xll.BDP($B75,D$9,"fill=b"))</f>
        <v>RDCOSA Float 10/15/20</v>
      </c>
      <c r="E75" s="150" t="str" cm="1">
        <f t="array" ref="E75">IF(B75="","",_xll.BDP($B75,E$9,"fill=b"))</f>
        <v>RODOVIAS DAS COLINAS SA</v>
      </c>
      <c r="F75" s="150" t="str" cm="1">
        <f t="array" ref="F75">IF(B75="","",IF(LEFT(_xlfn.SINGLE(_xll.BDP($B75,F$9,"fill=b")),1)="#","-",_xll.BDP($B75,F$9,"fill=b")))</f>
        <v>3284233Z IM</v>
      </c>
      <c r="G75" s="150" t="str" cm="1">
        <f t="array" ref="G75">IF(B75="","",_xll.BDP($B75,G$9,"fill=b"))</f>
        <v>BRAZIL DI+SPREAD</v>
      </c>
      <c r="H75" s="150" t="str" cm="1">
        <f t="array" ref="H75">IF(B75="","",_xll.BDP($B75,H$9,"fill=b"))</f>
        <v>OVRA BZDI +150.000</v>
      </c>
      <c r="I75" s="150" t="str" cm="1">
        <f t="array" ref="I75">IF(LEFT(_xlfn.SINGLE(_xll.BDP(B75,"REFERENCE_INDEX")),1)="#",IF(LEFT(_xlfn.SINGLE(_xll.BDP(B75, "RESET_IDX"))&amp;" Index",1)="#","",_xlfn.SINGLE(_xll.BDP(B75, "RESET_IDX"))&amp;" Index"),_xll.BDP(B75,"REFERENCE_INDEX"))</f>
        <v>BZDIOVRA Index</v>
      </c>
      <c r="J75" s="150" cm="1">
        <f t="array" ref="J75">IF(I75="BZDIOVRA Index",IF(_xlfn.SINGLE(_xll.BDP(B75,"FLT_SPREAD"))/100=0,_xll.BDP(B75,"FLT_BENCH_MULTIPLIER"),_xlfn.SINGLE(_xll.BDP(B75,"FLT_SPREAD"))/100),"")</f>
        <v>1.5</v>
      </c>
      <c r="K75" s="150" t="str" cm="1">
        <f t="array" ref="K75">IF(B75="","",IF(LEFT(_xlfn.SINGLE(_xll.BDP($B75,K$9,"fill=b")),1)="#","-",_xll.BDP($B75,K$9,"fill=b")))</f>
        <v>-</v>
      </c>
      <c r="L75" s="233"/>
      <c r="M75" s="234" t="e">
        <f t="shared" si="3"/>
        <v>#VALUE!</v>
      </c>
      <c r="N75" s="252" t="e">
        <f>IF(B75="","",IF(R75="",IF(OR(AD75="SINKABLE",AD75="CALL/SINK"),_xll.BDP(B75,$N$9,$M$9,M75,"PRICING SOURCE",$C$6),_xll.BDP(B75,$N$9,$M$9,M75,"PRICING SOURCE",$C$6,"FILL=B")),IF(OR(AD75="SINKABLE",AD75="CALL/SINK"),_xll.BDP(B75,$N$9,$Q$10,S75,$M$9,M75,"PRICING SOURCE",$C$6,"FILL=B"),_xll.BDP(B75,$N$9,$Q$9,S75,$M$9,M75,"PRICING SOURCE",$C$6))))</f>
        <v>#VALUE!</v>
      </c>
      <c r="O75" s="235"/>
      <c r="P75" s="236" t="e">
        <f t="shared" si="19"/>
        <v>#VALUE!</v>
      </c>
      <c r="Q75" s="166" t="str">
        <f>IF(ISERROR((IF(OR(AD75="SINKABLE",AD75="CALL/SINK"),_xll.BDP($B75,$Q$10,"fill=b","PRICING_SOURCE",$C$6,$AC75,$N$9,$P75,$M$9,$M75),_xll.BDP($B75,Q$9,"fill=b","PRICING_SOURCE",$C$6,$AC75,$N$9,$P75,$M$9,$M75)))*1),"",IF(OR(AD75="SINKABLE",AD75="CALL/SINK"),_xll.BDP($B75,$Q$10,"fill=b","PRICING_SOURCE",$C$6,$AC75,$N$9,$P75,$M$9,$M75),_xll.BDP($B75,Q$9,"fill=b","PRICING_SOURCE",$C$6,$AC75,$N$9,$P75,$M$9,$M75)))</f>
        <v/>
      </c>
      <c r="R75" s="237"/>
      <c r="S75" s="238" t="str">
        <f t="shared" si="20"/>
        <v/>
      </c>
      <c r="T75" s="239" cm="1">
        <f t="array" ref="T75">IF(ISERROR((_xlfn.SINGLE(IF(OR(AD75="SINKABLE",AD75="CALL/SINK"),_xll.BDP($B75,$Q$10,"fill=b","PRICING_SOURCE",$C$6,$AC75,$M$9,$U75,"px ask",$AE75),_xll.BDP($B75,Q$9,"fill=b","PRICING_SOURCE",$C$6,$AC75,$M$9,$U75,"px ask",$AE75))))*1),"",IF(OR(AD75="SINKABLE",AD75="CALL/SINK"),_xll.BDP($B75,$Q$10,"fill=b","PRICING_SOURCE",$C$6,$AC75,$M$9,$U75,"px ask",$AE75),_xll.BDP($B75,Q$9,"fill=b","PRICING_SOURCE",$C$6,$AC75,$M$9,$U75,"px ask",$AE75)))</f>
        <v>145.70177018259116</v>
      </c>
      <c r="U75" s="240" t="str">
        <f t="shared" ref="U75:U106" si="22">IF(B75="","",IF(AG75="",TEXT(YEAR(AN75)*10000+MONTH(AN75)*100+DAY(AN75),"00000000"),TEXT(YEAR(AG75)*10000+MONTH(AG75)*100+DAY(AG75),"00000000")))</f>
        <v>20130429</v>
      </c>
      <c r="V75" s="254" t="e" cm="1">
        <f t="array" ref="V75">IF(B75="","",IF(I75="BZDIOVRA Index",IF(OR(AD75="SINKABLE",AD75="CALL/SINK"),_xll.BDP($B75,"PX_ASK",$Q$10,J75,$M$9,M75),_xll.BDP($B75,"PX_"&amp;$H$7,$Q$9,J75,$M$9,M75)),_xll.BDP($B75,"PX_"&amp;$H$7,$Q$9,_xll.BDP(B75,"CPN"),$M$9,M75)))</f>
        <v>#VALUE!</v>
      </c>
      <c r="W75" s="254" t="str">
        <f t="shared" ref="W75:W106" si="23">IF(ISERROR(P75/V75*100),"",P75/V75*100)</f>
        <v/>
      </c>
      <c r="X75" s="166" t="e">
        <f>IF(B75="","",IF(OR(AD75="SINKABLE",AD75="CALL/SINK"),_xll.BDP($B75,X$9,"fill=b","PRICING_SOURCE",$C$6,$AC75,$M$9,$M75,$N$9,$P75,$Q$10,$S75),_xll.BDP($B75,X$9,"fill=b","PRICING_SOURCE",$C$6,$AC75,$M$9,$M75,$N$9,$P75,$Q$9,$S75)))</f>
        <v>#VALUE!</v>
      </c>
      <c r="Y75" s="166" t="e">
        <f>IF(B75="","",IF(OR(AD75="SINKABLE",AD75="CALL/SINK"),_xll.BDP($B75,Y$9,"fill=b","PRICING_SOURCE",$C$6,$AC75,$M$9,$M75,$N$9,$P75,$Q$10,$S75),_xll.BDP($B75,Y$9,"fill=b","PRICING_SOURCE",$C$6,$AC75,$M$9,$M75,$N$9,$P75,$Q$9,$S75)))</f>
        <v>#VALUE!</v>
      </c>
      <c r="Z75" s="255" t="e">
        <f>IF(B75="","",IF(OR(AD75="SINKABLE",AD75="CALL/SINK"),_xll.BDP($B75,Z$9,"fill=b","PRICING_SOURCE",$C$6,$AC75,$M$9,$M75,$N$9,$P75,$Q$10,$S75),_xll.BDP($B75,Z$9,"fill=b","PRICING_SOURCE",$C$6,$AC75,$M$9,$M75,$N$9,$P75,$Q$9,$S75)))</f>
        <v>#VALUE!</v>
      </c>
      <c r="AA75" s="166" t="e">
        <f>IF(B75="","",IF(OR(AD75="SINKABLE",AD75="CALL/SINK"),_xll.BDP($B75,AA$9,"fill=b","PRICING_SOURCE",$C$6,$AC75,$M$9,$M75,$N$9,$P75,$Q$10,$S75),_xll.BDP($B75,AA$9,"fill=b","PRICING_SOURCE",$C$6,$AC75,$M$9,$M75,$N$9,$P75,$Q$9,$S75)))</f>
        <v>#VALUE!</v>
      </c>
      <c r="AB75" s="150" t="str" cm="1">
        <f t="array" ref="AB75">IF(B75="","",IF(LEFT(_xlfn.SINGLE(_xll.BDP($B75,AB$9,"fill=b")),1)="#","-",_xll.BDP($B75,AB$9,"fill=b")))</f>
        <v>10/15/2020</v>
      </c>
      <c r="AC75" s="150" t="str">
        <f t="shared" si="21"/>
        <v>YLD FLAG=28</v>
      </c>
      <c r="AD75" s="150" t="str" cm="1">
        <f t="array" ref="AD75">IF(B75="","",_xll.BDP($B75,AD$9,"fill=b"))</f>
        <v>SINKABLE</v>
      </c>
      <c r="AE75" s="256" cm="1">
        <f t="array" ref="AE75">IF(B75="","",IF(ISERROR(_xlfn.SINGLE(_xll.BDH(B75,"PX LAST",AN75,AN75,"DAYS=ALL","PRICING SOURCE",$C$6))*1),_xll.BDP(B75,"PAR AMT"),_xll.BDH(B75,"PX LAST",AN75,AN75,"DAYS=ALL","PRICING SOURCE",$C$6)))</f>
        <v>1100</v>
      </c>
      <c r="AF75" s="150" cm="1">
        <f t="array" ref="AF75">IF(B75="","",_xll.BDP($B75,AF$9,"fill=b"))</f>
        <v>1.945214545</v>
      </c>
      <c r="AG75" s="150"/>
      <c r="AH75" s="190">
        <f>IF(B75="","",IF($AD75="AT MATURITY",$AB75*1,_xll.BADDPERIODS(_xll.BDP($B75,"issue dt"),"numberofperiods",TRUNC(_xll.BDP($B75,"YRS_TO_LONGEST_AVG_LIFE","YLD_YTM_BID",AF75,"SETTLE_DT",U75,AC75),0),"per=y")+(ROUND(MOD(_xll.BDP(B75,"YRS_TO_LONGEST_AVG_LIFE","YLD_YTM_BID",AF75,"SETTLE_DT",U75,AC75),1)*360,0))))</f>
        <v>43214</v>
      </c>
      <c r="AI75" s="150" t="e" cm="1">
        <f t="array" ref="AI75">IF(B75="","",AF75-_xll.BInterpol(_xll.BDP(_xll.BDS("YCGT0372 Index","curve members","CURVE_DATE", $U75,"endcol=1","array=true"),"maturity")*1,_xll.BDH(_xll.BDS("YCGT0372 Index","curve members","CURVE_DATE", $U75,"endcol=1","array=true"),"yld cnv mid",$U75,$U75,"days=all"),AH75,"CUBIC","Extrapolate=LINEAR","SKIP=TRUE","SORT=TRUE","MultiX=Average"))</f>
        <v>#VALUE!</v>
      </c>
      <c r="AJ75" s="189">
        <f t="shared" ref="AJ75:AJ106" si="24">IF(ISERROR(IF(LEFT(IF(MID(G75,8,2)="DI",J75,IF(MID(G75,8,4)="IPCA",AI75,"")),1)="#","",IF(MID(G75,8,2)="DI",J75,IF(MID(G75,8,4)="IPCA",AI75,IF(G75="BRAZIL PERCENT DI",J75,""))))),"",IF(LEFT(IF(MID(G75,8,2)="DI",J75,IF(MID(G75,8,4)="IPCA",AI75,"")),1)="#","",IF(MID(G75,8,2)="DI",J75,IF(MID(G75,8,4)="IPCA",AI75,IF(G75="BRAZIL PERCENT DI",J75,"")))))</f>
        <v>1.5</v>
      </c>
      <c r="AK75" s="257" t="str" cm="1">
        <f t="array" ref="AK75">IF(B75="","",_xll.BDP($B75,AK$9,"fill=b"))</f>
        <v>571.32MM</v>
      </c>
      <c r="AL75" s="257" t="str" cm="1">
        <f t="array" ref="AL75">IF(B75="","",_xll.BDP($B75,AL$9,"fill=b"))</f>
        <v>0</v>
      </c>
      <c r="AM75" s="256" cm="1">
        <f t="array" ref="AM75">IF(B75="","",_xll.BDP($B75,AM$9,"fill=b"))</f>
        <v>1100</v>
      </c>
      <c r="AN75" s="150" t="str" cm="1">
        <f t="array" ref="AN75">IF(B75="","",_xll.BDP($B75,AN$9,"fill=b"))</f>
        <v>4/29/2013</v>
      </c>
      <c r="AO75" s="150" t="str" cm="1">
        <f t="array" ref="AO75">IF(B75="","",IF(LEFT(_xlfn.SINGLE(_xll.BDP($B75,AO$9,"fill=b")),1)="#","-",_xll.BDP($B75,AO$9,"fill=b")))</f>
        <v>JOINT LEADS</v>
      </c>
      <c r="AP75" s="150" t="str" cm="1">
        <f t="array" ref="AP75">IF(B75="","",_xll.BDP($B75,AP$9,"fill=b"))</f>
        <v>Consumer, Non-cyclical</v>
      </c>
      <c r="AQ75" s="150" t="str" cm="1">
        <f t="array" ref="AQ75">IF(B75="","",_xll.BDP($B75,AQ$9,"fill=b"))</f>
        <v>Commercial Services</v>
      </c>
      <c r="AR75" s="150" t="str" cm="1">
        <f t="array" ref="AR75">IF(B75="","",_xll.BDP($B75,AR$9,"fill=b"))</f>
        <v/>
      </c>
      <c r="AS75" s="150" t="str" cm="1">
        <f t="array" ref="AS75">IF(B75="","",_xll.BDP($B75,AS$9,"fill=b"))</f>
        <v>WR</v>
      </c>
      <c r="AT75" s="150" t="str" cm="1">
        <f t="array" ref="AT75">IF(B75="","",_xll.BDP($B75,AT$9,"fill=b"))</f>
        <v>WD</v>
      </c>
      <c r="AU75" s="258" t="str" cm="1">
        <f t="array" ref="AU75">IF(B75="","",_xll.BDP($B75,AU$9,"fill=b"))</f>
        <v>CPN = BZDIOVRA INDEX + 150BPS.</v>
      </c>
    </row>
    <row r="76" spans="2:47" ht="15" x14ac:dyDescent="0.25">
      <c r="B76" s="232" t="s">
        <v>286</v>
      </c>
      <c r="C76" s="150" t="str" cm="1">
        <f t="array" ref="C76">IF(B76="","",_xll.BDP($B76,C$9,"fill=b"))</f>
        <v>RDCO24</v>
      </c>
      <c r="D76" s="150" t="str" cm="1">
        <f t="array" ref="D76">IF(B76="","",_xll.BDP($B76,D$9,"fill=b"))</f>
        <v>RDCOSA 5 10/15/20</v>
      </c>
      <c r="E76" s="150" t="str" cm="1">
        <f t="array" ref="E76">IF(B76="","",_xll.BDP($B76,E$9,"fill=b"))</f>
        <v>RODOVIAS DAS COLINAS SA</v>
      </c>
      <c r="F76" s="150" t="str" cm="1">
        <f t="array" ref="F76">IF(B76="","",IF(LEFT(_xlfn.SINGLE(_xll.BDP($B76,F$9,"fill=b")),1)="#","-",_xll.BDP($B76,F$9,"fill=b")))</f>
        <v>3284233Z IM</v>
      </c>
      <c r="G76" s="150" t="str" cm="1">
        <f t="array" ref="G76">IF(B76="","",_xll.BDP($B76,G$9,"fill=b"))</f>
        <v>BRAZIL IPCA+SPREAD</v>
      </c>
      <c r="H76" s="150" t="str" cm="1">
        <f t="array" ref="H76">IF(B76="","",_xll.BDP($B76,H$9,"fill=b"))</f>
        <v/>
      </c>
      <c r="I76" s="150" t="str" cm="1">
        <f t="array" ref="I76">IF(LEFT(_xlfn.SINGLE(_xll.BDP(B76,"REFERENCE_INDEX")),1)="#",IF(LEFT(_xlfn.SINGLE(_xll.BDP(B76, "RESET_IDX"))&amp;" Index",1)="#","",_xlfn.SINGLE(_xll.BDP(B76, "RESET_IDX"))&amp;" Index"),_xll.BDP(B76,"REFERENCE_INDEX"))</f>
        <v>BZCLVLUE Index</v>
      </c>
      <c r="J76" s="150" t="str">
        <f>IF(I76="BZDIOVRA Index",IF(_xll.BDP(B76,"FLT_SPREAD")/100=0,_xll.BDP(B76,"FLT_BENCH_MULTIPLIER"),_xll.BDP(B76,"FLT_SPREAD")/100),"")</f>
        <v/>
      </c>
      <c r="K76" s="150" t="str" cm="1">
        <f t="array" ref="K76">IF(B76="","",IF(LEFT(_xlfn.SINGLE(_xll.BDP($B76,K$9,"fill=b")),1)="#","-",_xll.BDP($B76,K$9,"fill=b")))</f>
        <v>-</v>
      </c>
      <c r="L76" s="233"/>
      <c r="M76" s="234" t="e">
        <f t="shared" ref="M76:M139" si="25">IF(B76="","",IF(L76="",TEXT(YEAR(K76)*10000+MONTH(K76)*100+DAY(K76),"00000000"),TEXT(YEAR(L76)*10000+MONTH(L76)*100+DAY(L76),"00000000")))</f>
        <v>#VALUE!</v>
      </c>
      <c r="N76" s="252" t="e">
        <f>IF(B76="","",IF(R76="",IF(OR(AD76="SINKABLE",AD76="CALL/SINK"),_xll.BDP(B76,$N$9,$M$9,M76,"PRICING SOURCE",$C$6,"FILL=B"),_xll.BDP(B76,$N$9,$M$9,M76,"PRICING SOURCE",$C$6,"FILL=B")),IF(OR(AD76="SINKABLE",AD76="CALL/SINK"),_xll.BDP(B76,$N$9,$Q$10,S76,$M$9,M76,"PRICING SOURCE",$C$6,"FILL=B"),_xll.BDP(B76,$N$9,$Q$9,S76,$M$9,M76,"PRICING SOURCE",$C$6,"FILL=B"))))</f>
        <v>#VALUE!</v>
      </c>
      <c r="O76" s="235"/>
      <c r="P76" s="236" t="e">
        <f t="shared" si="19"/>
        <v>#VALUE!</v>
      </c>
      <c r="Q76" s="166" t="str">
        <f>IF(ISERROR((IF(OR(AD76="SINKABLE",AD76="CALL/SINK"),_xll.BDP($B76,$Q$10,"fill=b","PRICING_SOURCE",$C$6,$AC76,$N$9,$P76,$M$9,$M76),_xll.BDP($B76,Q$9,"fill=b","PRICING_SOURCE",$C$6,$AC76,$N$9,$P76,$M$9,$M76)))*1),"",IF(OR(AD76="SINKABLE",AD76="CALL/SINK"),_xll.BDP($B76,$Q$10,"fill=b","PRICING_SOURCE",$C$6,$AC76,$N$9,$P76,$M$9,$M76),_xll.BDP($B76,Q$9,"fill=b","PRICING_SOURCE",$C$6,$AC76,$N$9,$P76,$M$9,$M76)))</f>
        <v/>
      </c>
      <c r="R76" s="237"/>
      <c r="S76" s="238" t="str">
        <f t="shared" si="20"/>
        <v/>
      </c>
      <c r="T76" s="239" cm="1">
        <f t="array" ref="T76">IF(ISERROR((_xlfn.SINGLE(IF(OR(AD76="SINKABLE",AD76="CALL/SINK"),_xll.BDP($B76,$Q$10,"fill=b","PRICING_SOURCE",$C$6,$AC76,$M$9,$U76,"px ask",$AE76),_xll.BDP($B76,Q$9,"fill=b","PRICING_SOURCE",$C$6,$AC76,$M$9,$U76,"px ask",$AE76))))*1),"",IF(OR(AD76="SINKABLE",AD76="CALL/SINK"),_xll.BDP($B76,$Q$10,"fill=b","PRICING_SOURCE",$C$6,$AC76,$M$9,$U76,"px ask",$AE76),_xll.BDP($B76,Q$9,"fill=b","PRICING_SOURCE",$C$6,$AC76,$M$9,$U76,"px ask",$AE76)))</f>
        <v>101.34322271622912</v>
      </c>
      <c r="U76" s="240" t="str">
        <f t="shared" si="22"/>
        <v>20130415</v>
      </c>
      <c r="V76" s="254" t="e" cm="1">
        <f t="array" ref="V76">IF(B76="","",IF(I76="BZDIOVRA Index",IF(OR(AD76="SINKABLE",AD76="CALL/SINK"),_xll.BDP($B76,"PX_ASK",$Q$10,J76,$M$9,M76),_xll.BDP($B76,"PX_"&amp;$H$7,$Q$9,J76,$M$9,M76)),_xll.BDP($B76,"PX_"&amp;$H$7,$Q$9,_xll.BDP(B76,"CPN"),$M$9,M76)))</f>
        <v>#VALUE!</v>
      </c>
      <c r="W76" s="254" t="str">
        <f t="shared" si="23"/>
        <v/>
      </c>
      <c r="X76" s="166" t="e">
        <f>IF(B76="","",IF(OR(AD76="SINKABLE",AD76="CALL/SINK"),_xll.BDP($B76,X$9,"fill=b","PRICING_SOURCE",$C$6,$AC76,$M$9,$M76,$N$9,$P76,$Q$10,$S76),_xll.BDP($B76,X$9,"fill=b","PRICING_SOURCE",$C$6,$AC76,$M$9,$M76,$N$9,$P76,$Q$9,$S76)))</f>
        <v>#VALUE!</v>
      </c>
      <c r="Y76" s="166" t="e">
        <f>IF(B76="","",IF(OR(AD76="SINKABLE",AD76="CALL/SINK"),_xll.BDP($B76,Y$9,"fill=b","PRICING_SOURCE",$C$6,$AC76,$M$9,$M76,$N$9,$P76,$Q$10,$S76),_xll.BDP($B76,Y$9,"fill=b","PRICING_SOURCE",$C$6,$AC76,$M$9,$M76,$N$9,$P76,$Q$9,$S76)))</f>
        <v>#VALUE!</v>
      </c>
      <c r="Z76" s="255" t="e">
        <f>IF(B76="","",IF(OR(AD76="SINKABLE",AD76="CALL/SINK"),_xll.BDP($B76,Z$9,"fill=b","PRICING_SOURCE",$C$6,$AC76,$M$9,$M76,$N$9,$P76,$Q$10,$S76),_xll.BDP($B76,Z$9,"fill=b","PRICING_SOURCE",$C$6,$AC76,$M$9,$M76,$N$9,$P76,$Q$9,$S76)))</f>
        <v>#VALUE!</v>
      </c>
      <c r="AA76" s="166" t="e">
        <f>IF(B76="","",IF(OR(AD76="SINKABLE",AD76="CALL/SINK"),_xll.BDP($B76,AA$9,"fill=b","PRICING_SOURCE",$C$6,$AC76,$M$9,$M76,$N$9,$P76,$Q$10,$S76),_xll.BDP($B76,AA$9,"fill=b","PRICING_SOURCE",$C$6,$AC76,$M$9,$M76,$N$9,$P76,$Q$9,$S76)))</f>
        <v>#VALUE!</v>
      </c>
      <c r="AB76" s="150" t="str" cm="1">
        <f t="array" ref="AB76">IF(B76="","",IF(LEFT(_xlfn.SINGLE(_xll.BDP($B76,AB$9,"fill=b")),1)="#","-",_xll.BDP($B76,AB$9,"fill=b")))</f>
        <v>10/15/2020</v>
      </c>
      <c r="AC76" s="150" t="str">
        <f t="shared" si="21"/>
        <v>YLD FLAG=28</v>
      </c>
      <c r="AD76" s="150" t="str" cm="1">
        <f t="array" ref="AD76">IF(B76="","",_xll.BDP($B76,AD$9,"fill=b"))</f>
        <v>SINKABLE</v>
      </c>
      <c r="AE76" s="256" cm="1">
        <f t="array" ref="AE76">IF(B76="","",IF(ISERROR(_xlfn.SINGLE(_xll.BDH(B76,"PX LAST",AN76,AN76,"DAYS=ALL","PRICING SOURCE",$C$6))*1),_xll.BDP(B76,"PAR AMT"),_xll.BDH(B76,"PX LAST",AN76,AN76,"DAYS=ALL","PRICING SOURCE",$C$6)))</f>
        <v>2200</v>
      </c>
      <c r="AF76" s="150" cm="1">
        <f t="array" ref="AF76">IF(B76="","",_xll.BDP($B76,AF$9,"fill=b"))</f>
        <v>5</v>
      </c>
      <c r="AG76" s="150"/>
      <c r="AH76" s="190" t="e">
        <f>IF(B76="","",IF($AD76="AT MATURITY",$AB76*1,_xll.BADDPERIODS(_xll.BDP($B76,"issue dt"),"numberofperiods",TRUNC(_xll.BDP($B76,"YRS_TO_LONGEST_AVG_LIFE","YLD_YTM_BID",AF76,"SETTLE_DT",U76,AC76),0),"per=y")+(ROUND(MOD(_xll.BDP(B76,"YRS_TO_LONGEST_AVG_LIFE","YLD_YTM_BID",AF76,"SETTLE_DT",U76,AC76),1)*360,0))))</f>
        <v>#VALUE!</v>
      </c>
      <c r="AI76" s="150" t="e" cm="1">
        <f t="array" ref="AI76">IF(B76="","",AF76-_xll.BInterpol(_xll.BDP(_xll.BDS("YCGT0372 Index","curve members","CURVE_DATE", $U76,"endcol=1","array=true"),"maturity")*1,_xll.BDH(_xll.BDS("YCGT0372 Index","curve members","CURVE_DATE", $U76,"endcol=1","array=true"),"yld cnv mid",$U76,$U76,"days=all"),AH76,"CUBIC","Extrapolate=LINEAR","SKIP=TRUE","SORT=TRUE","MultiX=Average"))</f>
        <v>#VALUE!</v>
      </c>
      <c r="AJ76" s="189" t="str">
        <f t="shared" si="24"/>
        <v/>
      </c>
      <c r="AK76" s="257" t="str" cm="1">
        <f t="array" ref="AK76">IF(B76="","",_xll.BDP($B76,AK$9,"fill=b"))</f>
        <v>123.68MM</v>
      </c>
      <c r="AL76" s="257" t="str" cm="1">
        <f t="array" ref="AL76">IF(B76="","",_xll.BDP($B76,AL$9,"fill=b"))</f>
        <v>0</v>
      </c>
      <c r="AM76" s="256" cm="1">
        <f t="array" ref="AM76">IF(B76="","",_xll.BDP($B76,AM$9,"fill=b"))</f>
        <v>2200</v>
      </c>
      <c r="AN76" s="150" t="str" cm="1">
        <f t="array" ref="AN76">IF(B76="","",_xll.BDP($B76,AN$9,"fill=b"))</f>
        <v>4/15/2013</v>
      </c>
      <c r="AO76" s="150" t="str" cm="1">
        <f t="array" ref="AO76">IF(B76="","",IF(LEFT(_xlfn.SINGLE(_xll.BDP($B76,AO$9,"fill=b")),1)="#","-",_xll.BDP($B76,AO$9,"fill=b")))</f>
        <v>JOINT LEADS</v>
      </c>
      <c r="AP76" s="150" t="str" cm="1">
        <f t="array" ref="AP76">IF(B76="","",_xll.BDP($B76,AP$9,"fill=b"))</f>
        <v>Consumer, Non-cyclical</v>
      </c>
      <c r="AQ76" s="150" t="str" cm="1">
        <f t="array" ref="AQ76">IF(B76="","",_xll.BDP($B76,AQ$9,"fill=b"))</f>
        <v>Commercial Services</v>
      </c>
      <c r="AR76" s="150" t="str" cm="1">
        <f t="array" ref="AR76">IF(B76="","",_xll.BDP($B76,AR$9,"fill=b"))</f>
        <v/>
      </c>
      <c r="AS76" s="150" t="str" cm="1">
        <f t="array" ref="AS76">IF(B76="","",_xll.BDP($B76,AS$9,"fill=b"))</f>
        <v>WR</v>
      </c>
      <c r="AT76" s="150" t="str" cm="1">
        <f t="array" ref="AT76">IF(B76="","",_xll.BDP($B76,AT$9,"fill=b"))</f>
        <v>WD</v>
      </c>
      <c r="AU76" s="258" t="str" cm="1">
        <f t="array" ref="AU76">IF(B76="","",_xll.BDP($B76,AU$9,"fill=b"))</f>
        <v>CPN = BZCLVLUE INDEX + 500 BPS.</v>
      </c>
    </row>
    <row r="77" spans="2:47" ht="15" x14ac:dyDescent="0.25">
      <c r="B77" s="232" t="s">
        <v>289</v>
      </c>
      <c r="C77" s="150" t="str" cm="1">
        <f t="array" ref="C77">IF(B77="","",_xll.BDP($B77,C$9,"fill=b"))</f>
        <v>RDCO34</v>
      </c>
      <c r="D77" s="150" t="str" cm="1">
        <f t="array" ref="D77">IF(B77="","",_xll.BDP($B77,D$9,"fill=b"))</f>
        <v>RDCOSA 5.7 04/15/23</v>
      </c>
      <c r="E77" s="150" t="str" cm="1">
        <f t="array" ref="E77">IF(B77="","",_xll.BDP($B77,E$9,"fill=b"))</f>
        <v>RODOVIAS DAS COLINAS SA</v>
      </c>
      <c r="F77" s="150" t="str" cm="1">
        <f t="array" ref="F77">IF(B77="","",IF(LEFT(_xlfn.SINGLE(_xll.BDP($B77,F$9,"fill=b")),1)="#","-",_xll.BDP($B77,F$9,"fill=b")))</f>
        <v>3284233Z IM</v>
      </c>
      <c r="G77" s="150" t="str" cm="1">
        <f t="array" ref="G77">IF(B77="","",_xll.BDP($B77,G$9,"fill=b"))</f>
        <v>BRAZIL IPCA+SPREAD</v>
      </c>
      <c r="H77" s="150" t="str" cm="1">
        <f t="array" ref="H77">IF(B77="","",_xll.BDP($B77,H$9,"fill=b"))</f>
        <v/>
      </c>
      <c r="I77" s="150" t="str" cm="1">
        <f t="array" ref="I77">IF(LEFT(_xlfn.SINGLE(_xll.BDP(B77,"REFERENCE_INDEX")),1)="#",IF(LEFT(_xlfn.SINGLE(_xll.BDP(B77, "RESET_IDX"))&amp;" Index",1)="#","",_xlfn.SINGLE(_xll.BDP(B77, "RESET_IDX"))&amp;" Index"),_xll.BDP(B77,"REFERENCE_INDEX"))</f>
        <v>BZCLVLUE Index</v>
      </c>
      <c r="J77" s="150" t="str">
        <f>IF(I77="BZDIOVRA Index",IF(_xll.BDP(B77,"FLT_SPREAD")/100=0,_xll.BDP(B77,"FLT_BENCH_MULTIPLIER"),_xll.BDP(B77,"FLT_SPREAD")/100),"")</f>
        <v/>
      </c>
      <c r="K77" s="150" t="str" cm="1">
        <f t="array" ref="K77">IF(B77="","",IF(LEFT(_xlfn.SINGLE(_xll.BDP($B77,K$9,"fill=b")),1)="#","-",_xll.BDP($B77,K$9,"fill=b")))</f>
        <v>-</v>
      </c>
      <c r="L77" s="233"/>
      <c r="M77" s="234" t="e">
        <f t="shared" si="25"/>
        <v>#VALUE!</v>
      </c>
      <c r="N77" s="252" t="e">
        <f>IF(B77="","",IF(R77="",IF(OR(AD77="SINKABLE",AD77="CALL/SINK"),_xll.BDP(B77,$N$9,$M$9,M77,"PRICING SOURCE",$C$6,"FILL=B"),_xll.BDP(B77,$N$9,$M$9,M77,"PRICING SOURCE",$C$6,"FILL=B")),IF(OR(AD77="SINKABLE",AD77="CALL/SINK"),_xll.BDP(B77,$N$9,$Q$10,S77,$M$9,M77,"PRICING SOURCE",$C$6,"FILL=B"),_xll.BDP(B77,$N$9,$Q$9,S77,$M$9,M77,"PRICING SOURCE",$C$6,"FILL=B"))))</f>
        <v>#VALUE!</v>
      </c>
      <c r="O77" s="235"/>
      <c r="P77" s="236" t="e">
        <f t="shared" si="19"/>
        <v>#VALUE!</v>
      </c>
      <c r="Q77" s="166" t="str">
        <f>IF(ISERROR((IF(OR(AD77="SINKABLE",AD77="CALL/SINK"),_xll.BDP($B77,$Q$10,"fill=b","PRICING_SOURCE",$C$6,$AC77,$N$9,$P77,$M$9,$M77),_xll.BDP($B77,Q$9,"fill=b","PRICING_SOURCE",$C$6,$AC77,$N$9,$P77,$M$9,$M77)))*1),"",IF(OR(AD77="SINKABLE",AD77="CALL/SINK"),_xll.BDP($B77,$Q$10,"fill=b","PRICING_SOURCE",$C$6,$AC77,$N$9,$P77,$M$9,$M77),_xll.BDP($B77,Q$9,"fill=b","PRICING_SOURCE",$C$6,$AC77,$N$9,$P77,$M$9,$M77)))</f>
        <v/>
      </c>
      <c r="R77" s="237"/>
      <c r="S77" s="238" t="str">
        <f t="shared" si="20"/>
        <v/>
      </c>
      <c r="T77" s="239" cm="1">
        <f t="array" ref="T77">IF(ISERROR((_xlfn.SINGLE(IF(OR(AD77="SINKABLE",AD77="CALL/SINK"),_xll.BDP($B77,$Q$10,"fill=b","PRICING_SOURCE",$C$6,$AC77,$M$9,$U77,"px ask",$AE77),_xll.BDP($B77,Q$9,"fill=b","PRICING_SOURCE",$C$6,$AC77,$M$9,$U77,"px ask",$AE77))))*1),"",IF(OR(AD77="SINKABLE",AD77="CALL/SINK"),_xll.BDP($B77,$Q$10,"fill=b","PRICING_SOURCE",$C$6,$AC77,$M$9,$U77,"px ask",$AE77),_xll.BDP($B77,Q$9,"fill=b","PRICING_SOURCE",$C$6,$AC77,$M$9,$U77,"px ask",$AE77)))</f>
        <v>65.58588968298703</v>
      </c>
      <c r="U77" s="240" t="str">
        <f t="shared" si="22"/>
        <v>20130429</v>
      </c>
      <c r="V77" s="254" t="e" cm="1">
        <f t="array" ref="V77">IF(B77="","",IF(I77="BZDIOVRA Index",IF(OR(AD77="SINKABLE",AD77="CALL/SINK"),_xll.BDP($B77,"PX_ASK",$Q$10,J77,$M$9,M77),_xll.BDP($B77,"PX_"&amp;$H$7,$Q$9,J77,$M$9,M77)),_xll.BDP($B77,"PX_"&amp;$H$7,$Q$9,_xll.BDP(B77,"CPN"),$M$9,M77)))</f>
        <v>#VALUE!</v>
      </c>
      <c r="W77" s="254" t="str">
        <f t="shared" si="23"/>
        <v/>
      </c>
      <c r="X77" s="166" t="e">
        <f>IF(B77="","",IF(OR(AD77="SINKABLE",AD77="CALL/SINK"),_xll.BDP($B77,X$9,"fill=b","PRICING_SOURCE",$C$6,$AC77,$M$9,$M77,$N$9,$P77,$Q$10,$S77),_xll.BDP($B77,X$9,"fill=b","PRICING_SOURCE",$C$6,$AC77,$M$9,$M77,$N$9,$P77,$Q$9,$S77)))</f>
        <v>#VALUE!</v>
      </c>
      <c r="Y77" s="166" t="e">
        <f>IF(B77="","",IF(OR(AD77="SINKABLE",AD77="CALL/SINK"),_xll.BDP($B77,Y$9,"fill=b","PRICING_SOURCE",$C$6,$AC77,$M$9,$M77,$N$9,$P77,$Q$10,$S77),_xll.BDP($B77,Y$9,"fill=b","PRICING_SOURCE",$C$6,$AC77,$M$9,$M77,$N$9,$P77,$Q$9,$S77)))</f>
        <v>#VALUE!</v>
      </c>
      <c r="Z77" s="255" t="e">
        <f>IF(B77="","",IF(OR(AD77="SINKABLE",AD77="CALL/SINK"),_xll.BDP($B77,Z$9,"fill=b","PRICING_SOURCE",$C$6,$AC77,$M$9,$M77,$N$9,$P77,$Q$10,$S77),_xll.BDP($B77,Z$9,"fill=b","PRICING_SOURCE",$C$6,$AC77,$M$9,$M77,$N$9,$P77,$Q$9,$S77)))</f>
        <v>#VALUE!</v>
      </c>
      <c r="AA77" s="166" t="e">
        <f>IF(B77="","",IF(OR(AD77="SINKABLE",AD77="CALL/SINK"),_xll.BDP($B77,AA$9,"fill=b","PRICING_SOURCE",$C$6,$AC77,$M$9,$M77,$N$9,$P77,$Q$10,$S77),_xll.BDP($B77,AA$9,"fill=b","PRICING_SOURCE",$C$6,$AC77,$M$9,$M77,$N$9,$P77,$Q$9,$S77)))</f>
        <v>#VALUE!</v>
      </c>
      <c r="AB77" s="150" t="str" cm="1">
        <f t="array" ref="AB77">IF(B77="","",IF(LEFT(_xlfn.SINGLE(_xll.BDP($B77,AB$9,"fill=b")),1)="#","-",_xll.BDP($B77,AB$9,"fill=b")))</f>
        <v>4/15/2023</v>
      </c>
      <c r="AC77" s="150" t="str">
        <f t="shared" si="21"/>
        <v>YLD FLAG=28</v>
      </c>
      <c r="AD77" s="150" t="str" cm="1">
        <f t="array" ref="AD77">IF(B77="","",_xll.BDP($B77,AD$9,"fill=b"))</f>
        <v>SINKABLE</v>
      </c>
      <c r="AE77" s="256" cm="1">
        <f t="array" ref="AE77">IF(B77="","",IF(ISERROR(_xlfn.SINGLE(_xll.BDH(B77,"PX LAST",AN77,AN77,"DAYS=ALL","PRICING SOURCE",$C$6))*1),_xll.BDP(B77,"PAR AMT"),_xll.BDH(B77,"PX LAST",AN77,AN77,"DAYS=ALL","PRICING SOURCE",$C$6)))</f>
        <v>3333.34</v>
      </c>
      <c r="AF77" s="150" cm="1">
        <f t="array" ref="AF77">IF(B77="","",_xll.BDP($B77,AF$9,"fill=b"))</f>
        <v>5.7</v>
      </c>
      <c r="AG77" s="150"/>
      <c r="AH77" s="190" t="e">
        <f>IF(B77="","",IF($AD77="AT MATURITY",$AB77*1,_xll.BADDPERIODS(_xll.BDP($B77,"issue dt"),"numberofperiods",TRUNC(_xll.BDP($B77,"YRS_TO_LONGEST_AVG_LIFE","YLD_YTM_BID",AF77,"SETTLE_DT",U77,AC77),0),"per=y")+(ROUND(MOD(_xll.BDP(B77,"YRS_TO_LONGEST_AVG_LIFE","YLD_YTM_BID",AF77,"SETTLE_DT",U77,AC77),1)*360,0))))</f>
        <v>#VALUE!</v>
      </c>
      <c r="AI77" s="150" t="e" cm="1">
        <f t="array" ref="AI77">IF(B77="","",AF77-_xll.BInterpol(_xll.BDP(_xll.BDS("YCGT0372 Index","curve members","CURVE_DATE", $U77,"endcol=1","array=true"),"maturity")*1,_xll.BDH(_xll.BDS("YCGT0372 Index","curve members","CURVE_DATE", $U77,"endcol=1","array=true"),"yld cnv mid",$U77,$U77,"days=all"),AH77,"CUBIC","Extrapolate=LINEAR","SKIP=TRUE","SORT=TRUE","MultiX=Average"))</f>
        <v>#VALUE!</v>
      </c>
      <c r="AJ77" s="189" t="str">
        <f t="shared" si="24"/>
        <v/>
      </c>
      <c r="AK77" s="257" t="str" cm="1">
        <f t="array" ref="AK77">IF(B77="","",_xll.BDP($B77,AK$9,"fill=b"))</f>
        <v>255MM</v>
      </c>
      <c r="AL77" s="257" t="str" cm="1">
        <f t="array" ref="AL77">IF(B77="","",_xll.BDP($B77,AL$9,"fill=b"))</f>
        <v>0</v>
      </c>
      <c r="AM77" s="256" cm="1">
        <f t="array" ref="AM77">IF(B77="","",_xll.BDP($B77,AM$9,"fill=b"))</f>
        <v>3333.34</v>
      </c>
      <c r="AN77" s="150" t="str" cm="1">
        <f t="array" ref="AN77">IF(B77="","",_xll.BDP($B77,AN$9,"fill=b"))</f>
        <v>4/29/2013</v>
      </c>
      <c r="AO77" s="150" t="str" cm="1">
        <f t="array" ref="AO77">IF(B77="","",IF(LEFT(_xlfn.SINGLE(_xll.BDP($B77,AO$9,"fill=b")),1)="#","-",_xll.BDP($B77,AO$9,"fill=b")))</f>
        <v>JOINT LEADS</v>
      </c>
      <c r="AP77" s="150" t="str" cm="1">
        <f t="array" ref="AP77">IF(B77="","",_xll.BDP($B77,AP$9,"fill=b"))</f>
        <v>Consumer, Non-cyclical</v>
      </c>
      <c r="AQ77" s="150" t="str" cm="1">
        <f t="array" ref="AQ77">IF(B77="","",_xll.BDP($B77,AQ$9,"fill=b"))</f>
        <v>Commercial Services</v>
      </c>
      <c r="AR77" s="150" t="str" cm="1">
        <f t="array" ref="AR77">IF(B77="","",_xll.BDP($B77,AR$9,"fill=b"))</f>
        <v/>
      </c>
      <c r="AS77" s="150" t="str" cm="1">
        <f t="array" ref="AS77">IF(B77="","",_xll.BDP($B77,AS$9,"fill=b"))</f>
        <v>WR</v>
      </c>
      <c r="AT77" s="150" t="str" cm="1">
        <f t="array" ref="AT77">IF(B77="","",_xll.BDP($B77,AT$9,"fill=b"))</f>
        <v>WD</v>
      </c>
      <c r="AU77" s="258" t="str" cm="1">
        <f t="array" ref="AU77">IF(B77="","",_xll.BDP($B77,AU$9,"fill=b"))</f>
        <v>CPN = BZCLVLUE INDEX + 570BPS.</v>
      </c>
    </row>
    <row r="78" spans="2:47" ht="15" x14ac:dyDescent="0.25">
      <c r="B78" s="232" t="s">
        <v>310</v>
      </c>
      <c r="C78" s="150" t="str" cm="1">
        <f t="array" ref="C78">IF(B78="","",_xll.BDP($B78,C$9,"fill=b"))</f>
        <v>TIET12</v>
      </c>
      <c r="D78" s="150" t="str" cm="1">
        <f t="array" ref="D78">IF(B78="","",_xll.BDP($B78,D$9,"fill=b"))</f>
        <v>AES Float 05/15/19</v>
      </c>
      <c r="E78" s="150" t="str" cm="1">
        <f t="array" ref="E78">IF(B78="","",_xll.BDP($B78,E$9,"fill=b"))</f>
        <v>AES TIETE SA</v>
      </c>
      <c r="F78" s="150" t="str" cm="1">
        <f t="array" ref="F78">IF(B78="","",IF(LEFT(_xlfn.SINGLE(_xll.BDP($B78,F$9,"fill=b")),1)="#","-",_xll.BDP($B78,F$9,"fill=b")))</f>
        <v>AURE3 BZ</v>
      </c>
      <c r="G78" s="150" t="str" cm="1">
        <f t="array" ref="G78">IF(B78="","",_xll.BDP($B78,G$9,"fill=b"))</f>
        <v>BRAZIL DI+SPREAD</v>
      </c>
      <c r="H78" s="150" t="str" cm="1">
        <f t="array" ref="H78">IF(B78="","",_xll.BDP($B78,H$9,"fill=b"))</f>
        <v>OVRA BZDI +79.000</v>
      </c>
      <c r="I78" s="150" t="str" cm="1">
        <f t="array" ref="I78">IF(LEFT(_xlfn.SINGLE(_xll.BDP(B78,"REFERENCE_INDEX")),1)="#",IF(LEFT(_xlfn.SINGLE(_xll.BDP(B78, "RESET_IDX"))&amp;" Index",1)="#","",_xlfn.SINGLE(_xll.BDP(B78, "RESET_IDX"))&amp;" Index"),_xll.BDP(B78,"REFERENCE_INDEX"))</f>
        <v>BZDIOVRA Index</v>
      </c>
      <c r="J78" s="150" cm="1">
        <f t="array" ref="J78">IF(I78="BZDIOVRA Index",IF(_xlfn.SINGLE(_xll.BDP(B78,"FLT_SPREAD"))/100=0,_xll.BDP(B78,"FLT_BENCH_MULTIPLIER"),_xlfn.SINGLE(_xll.BDP(B78,"FLT_SPREAD"))/100),"")</f>
        <v>0.79</v>
      </c>
      <c r="K78" s="150" t="str" cm="1">
        <f t="array" ref="K78">IF(B78="","",IF(LEFT(_xlfn.SINGLE(_xll.BDP($B78,K$9,"fill=b")),1)="#","-",_xll.BDP($B78,K$9,"fill=b")))</f>
        <v>-</v>
      </c>
      <c r="L78" s="233"/>
      <c r="M78" s="234" t="e">
        <f t="shared" si="25"/>
        <v>#VALUE!</v>
      </c>
      <c r="N78" s="252" t="e">
        <f>IF(B78="","",IF(R78="",IF(OR(AD78="SINKABLE",AD78="CALL/SINK"),_xll.BDP(B78,$N$9,$M$9,M78,"PRICING SOURCE",$C$6,"FILL=B"),_xll.BDP(B78,$N$9,$M$9,M78,"PRICING SOURCE",$C$6,"FILL=B")),IF(OR(AD78="SINKABLE",AD78="CALL/SINK"),_xll.BDP(B78,$N$9,$Q$10,S78,$M$9,M78,"PRICING SOURCE",$C$6,"FILL=B"),_xll.BDP(B78,$N$9,$Q$9,S78,$M$9,M78,"PRICING SOURCE",$C$6,"FILL=B"))))</f>
        <v>#VALUE!</v>
      </c>
      <c r="O78" s="235"/>
      <c r="P78" s="236" t="e">
        <f t="shared" ref="P78:P112" si="26">IF(O78="",N78,O78)</f>
        <v>#VALUE!</v>
      </c>
      <c r="Q78" s="166" t="str">
        <f>IF(ISERROR((IF(OR(AD78="SINKABLE",AD78="CALL/SINK"),_xll.BDP($B78,$Q$10,"fill=b","PRICING_SOURCE",$C$6,$AC78,$N$9,$P78,$M$9,$M78),_xll.BDP($B78,Q$9,"fill=b","PRICING_SOURCE",$C$6,$AC78,$N$9,$P78,$M$9,$M78)))*1),"",IF(OR(AD78="SINKABLE",AD78="CALL/SINK"),_xll.BDP($B78,$Q$10,"fill=b","PRICING_SOURCE",$C$6,$AC78,$N$9,$P78,$M$9,$M78),_xll.BDP($B78,Q$9,"fill=b","PRICING_SOURCE",$C$6,$AC78,$N$9,$P78,$M$9,$M78)))</f>
        <v/>
      </c>
      <c r="R78" s="237"/>
      <c r="S78" s="238" t="str">
        <f t="shared" ref="S78:S112" si="27">IF(R78="",Q78,R78)</f>
        <v/>
      </c>
      <c r="T78" s="239" cm="1">
        <f t="array" ref="T78">IF(ISERROR((_xlfn.SINGLE(IF(OR(AD78="SINKABLE",AD78="CALL/SINK"),_xll.BDP($B78,$Q$10,"fill=b","PRICING_SOURCE",$C$6,$AC78,$M$9,$U78,"px ask",$AE78),_xll.BDP($B78,Q$9,"fill=b","PRICING_SOURCE",$C$6,$AC78,$M$9,$U78,"px ask",$AE78))))*1),"",IF(OR(AD78="SINKABLE",AD78="CALL/SINK"),_xll.BDP($B78,$Q$10,"fill=b","PRICING_SOURCE",$C$6,$AC78,$M$9,$U78,"px ask",$AE78),_xll.BDP($B78,Q$9,"fill=b","PRICING_SOURCE",$C$6,$AC78,$M$9,$U78,"px ask",$AE78)))</f>
        <v>36.088182900900769</v>
      </c>
      <c r="U78" s="240" t="str">
        <f t="shared" si="22"/>
        <v>20130515</v>
      </c>
      <c r="V78" s="254" t="e" cm="1">
        <f t="array" ref="V78">IF(B78="","",IF(I78="BZDIOVRA Index",IF(OR(AD78="SINKABLE",AD78="CALL/SINK"),_xll.BDP($B78,"PX_ASK",$Q$10,J78,$M$9,M78),_xll.BDP($B78,"PX_"&amp;$H$7,$Q$9,J78,$M$9,M78)),_xll.BDP($B78,"PX_"&amp;$H$7,$Q$9,_xll.BDP(B78,"CPN"),$M$9,M78)))</f>
        <v>#VALUE!</v>
      </c>
      <c r="W78" s="254" t="str">
        <f t="shared" si="23"/>
        <v/>
      </c>
      <c r="X78" s="166" t="e">
        <f>IF(B78="","",IF(OR(AD78="SINKABLE",AD78="CALL/SINK"),_xll.BDP($B78,X$9,"fill=b","PRICING_SOURCE",$C$6,$AC78,$M$9,$M78,$N$9,$P78,$Q$10,$S78),_xll.BDP($B78,X$9,"fill=b","PRICING_SOURCE",$C$6,$AC78,$M$9,$M78,$N$9,$P78,$Q$9,$S78)))</f>
        <v>#VALUE!</v>
      </c>
      <c r="Y78" s="166" t="e">
        <f>IF(B78="","",IF(OR(AD78="SINKABLE",AD78="CALL/SINK"),_xll.BDP($B78,Y$9,"fill=b","PRICING_SOURCE",$C$6,$AC78,$M$9,$M78,$N$9,$P78,$Q$10,$S78),_xll.BDP($B78,Y$9,"fill=b","PRICING_SOURCE",$C$6,$AC78,$M$9,$M78,$N$9,$P78,$Q$9,$S78)))</f>
        <v>#VALUE!</v>
      </c>
      <c r="Z78" s="255" t="e">
        <f>IF(B78="","",IF(OR(AD78="SINKABLE",AD78="CALL/SINK"),_xll.BDP($B78,Z$9,"fill=b","PRICING_SOURCE",$C$6,$AC78,$M$9,$M78,$N$9,$P78,$Q$10,$S78),_xll.BDP($B78,Z$9,"fill=b","PRICING_SOURCE",$C$6,$AC78,$M$9,$M78,$N$9,$P78,$Q$9,$S78)))</f>
        <v>#VALUE!</v>
      </c>
      <c r="AA78" s="166" t="e">
        <f>IF(B78="","",IF(OR(AD78="SINKABLE",AD78="CALL/SINK"),_xll.BDP($B78,AA$9,"fill=b","PRICING_SOURCE",$C$6,$AC78,$M$9,$M78,$N$9,$P78,$Q$10,$S78),_xll.BDP($B78,AA$9,"fill=b","PRICING_SOURCE",$C$6,$AC78,$M$9,$M78,$N$9,$P78,$Q$9,$S78)))</f>
        <v>#VALUE!</v>
      </c>
      <c r="AB78" s="150" t="str" cm="1">
        <f t="array" ref="AB78">IF(B78="","",IF(LEFT(_xlfn.SINGLE(_xll.BDP($B78,AB$9,"fill=b")),1)="#","-",_xll.BDP($B78,AB$9,"fill=b")))</f>
        <v>5/15/2019</v>
      </c>
      <c r="AC78" s="150" t="str">
        <f t="shared" ref="AC78:AC112" si="28">IF(OR(AD78="SINKABLE",AD78="CALL/SINK"),"YLD FLAG=28",IF(OR(AD78="AT MATURITY",AD78="CALLABLE"),"YLD FLAG=1","YLD FLAG=2"))</f>
        <v>YLD FLAG=28</v>
      </c>
      <c r="AD78" s="150" t="str" cm="1">
        <f t="array" ref="AD78">IF(B78="","",_xll.BDP($B78,AD$9,"fill=b"))</f>
        <v>SINKABLE</v>
      </c>
      <c r="AE78" s="256" cm="1">
        <f t="array" ref="AE78">IF(B78="","",IF(ISERROR(_xlfn.SINGLE(_xll.BDH(B78,"PX LAST",AN78,AN78,"DAYS=ALL","PRICING SOURCE",$C$6))*1),_xll.BDP(B78,"PAR AMT"),_xll.BDH(B78,"PX LAST",AN78,AN78,"DAYS=ALL","PRICING SOURCE",$C$6)))</f>
        <v>10000</v>
      </c>
      <c r="AF78" s="150" cm="1">
        <f t="array" ref="AF78">IF(B78="","",_xll.BDP($B78,AF$9,"fill=b"))</f>
        <v>0</v>
      </c>
      <c r="AG78" s="150"/>
      <c r="AH78" s="190">
        <f>IF(B78="","",IF($AD78="AT MATURITY",$AB78*1,_xll.BADDPERIODS(_xll.BDP($B78,"issue dt"),"numberofperiods",TRUNC(_xll.BDP($B78,"YRS_TO_LONGEST_AVG_LIFE","YLD_YTM_BID",AF78,"SETTLE_DT",U78,AC78),0),"per=y")+(ROUND(MOD(_xll.BDP(B78,"YRS_TO_LONGEST_AVG_LIFE","YLD_YTM_BID",AF78,"SETTLE_DT",U78,AC78),1)*360,0))))</f>
        <v>43236</v>
      </c>
      <c r="AI78" s="150" t="e" cm="1">
        <f t="array" ref="AI78">IF(B78="","",AF78-_xll.BInterpol(_xll.BDP(_xll.BDS("YCGT0372 Index","curve members","CURVE_DATE", $U78,"endcol=1","array=true"),"maturity")*1,_xll.BDH(_xll.BDS("YCGT0372 Index","curve members","CURVE_DATE", $U78,"endcol=1","array=true"),"yld cnv mid",$U78,$U78,"days=all"),AH78,"CUBIC","Extrapolate=LINEAR","SKIP=TRUE","SORT=TRUE","MultiX=Average"))</f>
        <v>#VALUE!</v>
      </c>
      <c r="AJ78" s="189">
        <f t="shared" si="24"/>
        <v>0.79</v>
      </c>
      <c r="AK78" s="257" t="str" cm="1">
        <f t="array" ref="AK78">IF(B78="","",_xll.BDP($B78,AK$9,"fill=b"))</f>
        <v>498MM</v>
      </c>
      <c r="AL78" s="257" t="str" cm="1">
        <f t="array" ref="AL78">IF(B78="","",_xll.BDP($B78,AL$9,"fill=b"))</f>
        <v>0</v>
      </c>
      <c r="AM78" s="256" cm="1">
        <f t="array" ref="AM78">IF(B78="","",_xll.BDP($B78,AM$9,"fill=b"))</f>
        <v>10000</v>
      </c>
      <c r="AN78" s="150" t="str" cm="1">
        <f t="array" ref="AN78">IF(B78="","",_xll.BDP($B78,AN$9,"fill=b"))</f>
        <v>5/15/2013</v>
      </c>
      <c r="AO78" s="150" t="str" cm="1">
        <f t="array" ref="AO78">IF(B78="","",IF(LEFT(_xlfn.SINGLE(_xll.BDP($B78,AO$9,"fill=b")),1)="#","-",_xll.BDP($B78,AO$9,"fill=b")))</f>
        <v>BBBBI,JPM</v>
      </c>
      <c r="AP78" s="150" t="str" cm="1">
        <f t="array" ref="AP78">IF(B78="","",_xll.BDP($B78,AP$9,"fill=b"))</f>
        <v>Utilities</v>
      </c>
      <c r="AQ78" s="150" t="str" cm="1">
        <f t="array" ref="AQ78">IF(B78="","",_xll.BDP($B78,AQ$9,"fill=b"))</f>
        <v>Electric</v>
      </c>
      <c r="AR78" s="150" t="str" cm="1">
        <f t="array" ref="AR78">IF(B78="","",_xll.BDP($B78,AR$9,"fill=b"))</f>
        <v/>
      </c>
      <c r="AS78" s="150" t="str" cm="1">
        <f t="array" ref="AS78">IF(B78="","",_xll.BDP($B78,AS$9,"fill=b"))</f>
        <v/>
      </c>
      <c r="AT78" s="150" t="str" cm="1">
        <f t="array" ref="AT78">IF(B78="","",_xll.BDP($B78,AT$9,"fill=b"))</f>
        <v/>
      </c>
      <c r="AU78" s="258" t="str" cm="1">
        <f t="array" ref="AU78">IF(B78="","",_xll.BDP($B78,AU$9,"fill=b"))</f>
        <v>CPN = BZDIOVRA INDEX + 79BP. ISSUED UNDER ICVM 476/09.</v>
      </c>
    </row>
    <row r="79" spans="2:47" ht="15" x14ac:dyDescent="0.25">
      <c r="B79" s="232" t="s">
        <v>306</v>
      </c>
      <c r="C79" s="150" t="str" cm="1">
        <f t="array" ref="C79">IF(B79="","",_xll.BDP($B79,C$9,"fill=b"))</f>
        <v>GEPA14</v>
      </c>
      <c r="D79" s="150" t="str" cm="1">
        <f t="array" ref="D79">IF(B79="","",_xll.BDP($B79,D$9,"fill=b"))</f>
        <v>GEPABZ Float 07/16/18</v>
      </c>
      <c r="E79" s="150" t="str" cm="1">
        <f t="array" ref="E79">IF(B79="","",_xll.BDP($B79,E$9,"fill=b"))</f>
        <v>RIO PARANAPANEMA ENERGIA</v>
      </c>
      <c r="F79" s="150" t="str" cm="1">
        <f t="array" ref="F79">IF(B79="","",IF(LEFT(_xlfn.SINGLE(_xll.BDP($B79,F$9,"fill=b")),1)="#","-",_xll.BDP($B79,F$9,"fill=b")))</f>
        <v>PRCH CH</v>
      </c>
      <c r="G79" s="150" t="str" cm="1">
        <f t="array" ref="G79">IF(B79="","",_xll.BDP($B79,G$9,"fill=b"))</f>
        <v>BRAZIL DI+SPREAD</v>
      </c>
      <c r="H79" s="150" t="str" cm="1">
        <f t="array" ref="H79">IF(B79="","",_xll.BDP($B79,H$9,"fill=b"))</f>
        <v>OVRA BZDI +65.000</v>
      </c>
      <c r="I79" s="150" t="str" cm="1">
        <f t="array" ref="I79">IF(LEFT(_xlfn.SINGLE(_xll.BDP(B79,"REFERENCE_INDEX")),1)="#",IF(LEFT(_xlfn.SINGLE(_xll.BDP(B79, "RESET_IDX"))&amp;" Index",1)="#","",_xlfn.SINGLE(_xll.BDP(B79, "RESET_IDX"))&amp;" Index"),_xll.BDP(B79,"REFERENCE_INDEX"))</f>
        <v>BZDIOVRA Index</v>
      </c>
      <c r="J79" s="150" cm="1">
        <f t="array" ref="J79">IF(I79="BZDIOVRA Index",IF(_xlfn.SINGLE(_xll.BDP(B79,"FLT_SPREAD"))/100=0,_xll.BDP(B79,"FLT_BENCH_MULTIPLIER"),_xlfn.SINGLE(_xll.BDP(B79,"FLT_SPREAD"))/100),"")</f>
        <v>0.65</v>
      </c>
      <c r="K79" s="150" t="str" cm="1">
        <f t="array" ref="K79">IF(B79="","",IF(LEFT(_xlfn.SINGLE(_xll.BDP($B79,K$9,"fill=b")),1)="#","-",_xll.BDP($B79,K$9,"fill=b")))</f>
        <v>-</v>
      </c>
      <c r="L79" s="233"/>
      <c r="M79" s="234" t="e">
        <f t="shared" si="25"/>
        <v>#VALUE!</v>
      </c>
      <c r="N79" s="252" t="e">
        <f>IF(B79="","",IF(R79="",IF(OR(AD79="SINKABLE",AD79="CALL/SINK"),_xll.BDP(B79,$N$9,$M$9,M79,"PRICING SOURCE",$C$6,"FILL=B"),_xll.BDP(B79,$N$9,$M$9,M79,"PRICING SOURCE",$C$6,"FILL=B")),IF(OR(AD79="SINKABLE",AD79="CALL/SINK"),_xll.BDP(B79,$N$9,$Q$10,S79,$M$9,M79,"PRICING SOURCE",$C$6,"FILL=B"),_xll.BDP(B79,$N$9,$Q$9,S79,$M$9,M79,"PRICING SOURCE",$C$6,"FILL=B"))))</f>
        <v>#VALUE!</v>
      </c>
      <c r="O79" s="235"/>
      <c r="P79" s="236" t="e">
        <f t="shared" si="26"/>
        <v>#VALUE!</v>
      </c>
      <c r="Q79" s="166" t="str">
        <f>IF(ISERROR((IF(OR(AD79="SINKABLE",AD79="CALL/SINK"),_xll.BDP($B79,$Q$10,"fill=b","PRICING_SOURCE",$C$6,$AC79,$N$9,$P79,$M$9,$M79),_xll.BDP($B79,Q$9,"fill=b","PRICING_SOURCE",$C$6,$AC79,$N$9,$P79,$M$9,$M79)))*1),"",IF(OR(AD79="SINKABLE",AD79="CALL/SINK"),_xll.BDP($B79,$Q$10,"fill=b","PRICING_SOURCE",$C$6,$AC79,$N$9,$P79,$M$9,$M79),_xll.BDP($B79,Q$9,"fill=b","PRICING_SOURCE",$C$6,$AC79,$N$9,$P79,$M$9,$M79)))</f>
        <v/>
      </c>
      <c r="R79" s="237"/>
      <c r="S79" s="238" t="str">
        <f t="shared" si="27"/>
        <v/>
      </c>
      <c r="T79" s="239" cm="1">
        <f t="array" ref="T79">IF(ISERROR((_xlfn.SINGLE(IF(OR(AD79="SINKABLE",AD79="CALL/SINK"),_xll.BDP($B79,$Q$10,"fill=b","PRICING_SOURCE",$C$6,$AC79,$M$9,$U79,"px ask",$AE79),_xll.BDP($B79,Q$9,"fill=b","PRICING_SOURCE",$C$6,$AC79,$M$9,$U79,"px ask",$AE79))))*1),"",IF(OR(AD79="SINKABLE",AD79="CALL/SINK"),_xll.BDP($B79,$Q$10,"fill=b","PRICING_SOURCE",$C$6,$AC79,$M$9,$U79,"px ask",$AE79),_xll.BDP($B79,Q$9,"fill=b","PRICING_SOURCE",$C$6,$AC79,$M$9,$U79,"px ask",$AE79)))</f>
        <v>45.035117411867944</v>
      </c>
      <c r="U79" s="240" t="str">
        <f t="shared" si="22"/>
        <v>20130716</v>
      </c>
      <c r="V79" s="254" t="e" cm="1">
        <f t="array" ref="V79">IF(B79="","",IF(I79="BZDIOVRA Index",IF(OR(AD79="SINKABLE",AD79="CALL/SINK"),_xll.BDP($B79,"PX_ASK",$Q$10,J79,$M$9,M79),_xll.BDP($B79,"PX_"&amp;$H$7,$Q$9,J79,$M$9,M79)),_xll.BDP($B79,"PX_"&amp;$H$7,$Q$9,_xll.BDP(B79,"CPN"),$M$9,M79)))</f>
        <v>#VALUE!</v>
      </c>
      <c r="W79" s="254" t="str">
        <f t="shared" si="23"/>
        <v/>
      </c>
      <c r="X79" s="166" t="e">
        <f>IF(B79="","",IF(OR(AD79="SINKABLE",AD79="CALL/SINK"),_xll.BDP($B79,X$9,"fill=b","PRICING_SOURCE",$C$6,$AC79,$M$9,$M79,$N$9,$P79,$Q$10,$S79),_xll.BDP($B79,X$9,"fill=b","PRICING_SOURCE",$C$6,$AC79,$M$9,$M79,$N$9,$P79,$Q$9,$S79)))</f>
        <v>#VALUE!</v>
      </c>
      <c r="Y79" s="166" t="e">
        <f>IF(B79="","",IF(OR(AD79="SINKABLE",AD79="CALL/SINK"),_xll.BDP($B79,Y$9,"fill=b","PRICING_SOURCE",$C$6,$AC79,$M$9,$M79,$N$9,$P79,$Q$10,$S79),_xll.BDP($B79,Y$9,"fill=b","PRICING_SOURCE",$C$6,$AC79,$M$9,$M79,$N$9,$P79,$Q$9,$S79)))</f>
        <v>#VALUE!</v>
      </c>
      <c r="Z79" s="255" t="e">
        <f>IF(B79="","",IF(OR(AD79="SINKABLE",AD79="CALL/SINK"),_xll.BDP($B79,Z$9,"fill=b","PRICING_SOURCE",$C$6,$AC79,$M$9,$M79,$N$9,$P79,$Q$10,$S79),_xll.BDP($B79,Z$9,"fill=b","PRICING_SOURCE",$C$6,$AC79,$M$9,$M79,$N$9,$P79,$Q$9,$S79)))</f>
        <v>#VALUE!</v>
      </c>
      <c r="AA79" s="166" t="e">
        <f>IF(B79="","",IF(OR(AD79="SINKABLE",AD79="CALL/SINK"),_xll.BDP($B79,AA$9,"fill=b","PRICING_SOURCE",$C$6,$AC79,$M$9,$M79,$N$9,$P79,$Q$10,$S79),_xll.BDP($B79,AA$9,"fill=b","PRICING_SOURCE",$C$6,$AC79,$M$9,$M79,$N$9,$P79,$Q$9,$S79)))</f>
        <v>#VALUE!</v>
      </c>
      <c r="AB79" s="150" t="str" cm="1">
        <f t="array" ref="AB79">IF(B79="","",IF(LEFT(_xlfn.SINGLE(_xll.BDP($B79,AB$9,"fill=b")),1)="#","-",_xll.BDP($B79,AB$9,"fill=b")))</f>
        <v>7/16/2018</v>
      </c>
      <c r="AC79" s="150" t="str">
        <f t="shared" si="28"/>
        <v>YLD FLAG=28</v>
      </c>
      <c r="AD79" s="150" t="str" cm="1">
        <f t="array" ref="AD79">IF(B79="","",_xll.BDP($B79,AD$9,"fill=b"))</f>
        <v>CALL/SINK</v>
      </c>
      <c r="AE79" s="256" cm="1">
        <f t="array" ref="AE79">IF(B79="","",IF(ISERROR(_xlfn.SINGLE(_xll.BDH(B79,"PX LAST",AN79,AN79,"DAYS=ALL","PRICING SOURCE",$C$6))*1),_xll.BDP(B79,"PAR AMT"),_xll.BDH(B79,"PX LAST",AN79,AN79,"DAYS=ALL","PRICING SOURCE",$C$6)))</f>
        <v>333.40000000000003</v>
      </c>
      <c r="AF79" s="150" cm="1">
        <f t="array" ref="AF79">IF(B79="","",_xll.BDP($B79,AF$9,"fill=b"))</f>
        <v>3.4837513497299999</v>
      </c>
      <c r="AG79" s="150"/>
      <c r="AH79" s="190">
        <f>IF(B79="","",IF($AD79="AT MATURITY",$AB79*1,_xll.BADDPERIODS(_xll.BDP($B79,"issue dt"),"numberofperiods",TRUNC(_xll.BDP($B79,"YRS_TO_LONGEST_AVG_LIFE","YLD_YTM_BID",AF79,"SETTLE_DT",U79,AC79),0),"per=y")+(ROUND(MOD(_xll.BDP(B79,"YRS_TO_LONGEST_AVG_LIFE","YLD_YTM_BID",AF79,"SETTLE_DT",U79,AC79),1)*360,0))))</f>
        <v>42935</v>
      </c>
      <c r="AI79" s="150" t="e" cm="1">
        <f t="array" ref="AI79">IF(B79="","",AF79-_xll.BInterpol(_xll.BDP(_xll.BDS("YCGT0372 Index","curve members","CURVE_DATE", $U79,"endcol=1","array=true"),"maturity")*1,_xll.BDH(_xll.BDS("YCGT0372 Index","curve members","CURVE_DATE", $U79,"endcol=1","array=true"),"yld cnv mid",$U79,$U79,"days=all"),AH79,"CUBIC","Extrapolate=LINEAR","SKIP=TRUE","SORT=TRUE","MultiX=Average"))</f>
        <v>#VALUE!</v>
      </c>
      <c r="AJ79" s="189">
        <f t="shared" si="24"/>
        <v>0.65</v>
      </c>
      <c r="AK79" s="257" t="str" cm="1">
        <f t="array" ref="AK79">IF(B79="","",_xll.BDP($B79,AK$9,"fill=b"))</f>
        <v>250MM</v>
      </c>
      <c r="AL79" s="257" t="str" cm="1">
        <f t="array" ref="AL79">IF(B79="","",_xll.BDP($B79,AL$9,"fill=b"))</f>
        <v>0</v>
      </c>
      <c r="AM79" s="256" cm="1">
        <f t="array" ref="AM79">IF(B79="","",_xll.BDP($B79,AM$9,"fill=b"))</f>
        <v>333.40000000000003</v>
      </c>
      <c r="AN79" s="150" t="str" cm="1">
        <f t="array" ref="AN79">IF(B79="","",_xll.BDP($B79,AN$9,"fill=b"))</f>
        <v>7/16/2013</v>
      </c>
      <c r="AO79" s="150" t="str" cm="1">
        <f t="array" ref="AO79">IF(B79="","",IF(LEFT(_xlfn.SINGLE(_xll.BDP($B79,AO$9,"fill=b")),1)="#","-",_xll.BDP($B79,AO$9,"fill=b")))</f>
        <v>BBBBI</v>
      </c>
      <c r="AP79" s="150" t="str" cm="1">
        <f t="array" ref="AP79">IF(B79="","",_xll.BDP($B79,AP$9,"fill=b"))</f>
        <v>Utilities</v>
      </c>
      <c r="AQ79" s="150" t="str" cm="1">
        <f t="array" ref="AQ79">IF(B79="","",_xll.BDP($B79,AQ$9,"fill=b"))</f>
        <v>Electric</v>
      </c>
      <c r="AR79" s="150" t="str" cm="1">
        <f t="array" ref="AR79">IF(B79="","",_xll.BDP($B79,AR$9,"fill=b"))</f>
        <v/>
      </c>
      <c r="AS79" s="150" t="str" cm="1">
        <f t="array" ref="AS79">IF(B79="","",_xll.BDP($B79,AS$9,"fill=b"))</f>
        <v>WR</v>
      </c>
      <c r="AT79" s="150" t="str" cm="1">
        <f t="array" ref="AT79">IF(B79="","",_xll.BDP($B79,AT$9,"fill=b"))</f>
        <v/>
      </c>
      <c r="AU79" s="258" t="str" cm="1">
        <f t="array" ref="AU79">IF(B79="","",_xll.BDP($B79,AU$9,"fill=b"))</f>
        <v>CPN = BZDIOVRA INDEX + 65BPS. ISSUED UNDER ICVM 476/09.</v>
      </c>
    </row>
    <row r="80" spans="2:47" ht="15" x14ac:dyDescent="0.25">
      <c r="B80" s="232" t="s">
        <v>287</v>
      </c>
      <c r="C80" s="150" t="str" cm="1">
        <f t="array" ref="C80">IF(B80="","",_xll.BDP($B80,C$9,"fill=b"))</f>
        <v>JSML36</v>
      </c>
      <c r="D80" s="150" t="str" cm="1">
        <f t="array" ref="D80">IF(B80="","",_xll.BDP($B80,D$9,"fill=b"))</f>
        <v>JSLGBZ 7 1/2 07/15/20</v>
      </c>
      <c r="E80" s="150" t="str" cm="1">
        <f t="array" ref="E80">IF(B80="","",_xll.BDP($B80,E$9,"fill=b"))</f>
        <v>JSL SA</v>
      </c>
      <c r="F80" s="150" t="str" cm="1">
        <f t="array" ref="F80">IF(B80="","",IF(LEFT(_xlfn.SINGLE(_xll.BDP($B80,F$9,"fill=b")),1)="#","-",_xll.BDP($B80,F$9,"fill=b")))</f>
        <v>1936410D BZ</v>
      </c>
      <c r="G80" s="150" t="str" cm="1">
        <f t="array" ref="G80">IF(B80="","",_xll.BDP($B80,G$9,"fill=b"))</f>
        <v>BRAZIL IPCA+SPREAD</v>
      </c>
      <c r="H80" s="150" t="str" cm="1">
        <f t="array" ref="H80">IF(B80="","",_xll.BDP($B80,H$9,"fill=b"))</f>
        <v/>
      </c>
      <c r="I80" s="150" t="str" cm="1">
        <f t="array" ref="I80">IF(LEFT(_xlfn.SINGLE(_xll.BDP(B80,"REFERENCE_INDEX")),1)="#",IF(LEFT(_xlfn.SINGLE(_xll.BDP(B80, "RESET_IDX"))&amp;" Index",1)="#","",_xlfn.SINGLE(_xll.BDP(B80, "RESET_IDX"))&amp;" Index"),_xll.BDP(B80,"REFERENCE_INDEX"))</f>
        <v>BZCLVLUE Index</v>
      </c>
      <c r="J80" s="150" t="str">
        <f>IF(I80="BZDIOVRA Index",IF(_xll.BDP(B80,"FLT_SPREAD")/100=0,_xll.BDP(B80,"FLT_BENCH_MULTIPLIER"),_xll.BDP(B80,"FLT_SPREAD")/100),"")</f>
        <v/>
      </c>
      <c r="K80" s="150" t="str" cm="1">
        <f t="array" ref="K80">IF(B80="","",IF(LEFT(_xlfn.SINGLE(_xll.BDP($B80,K$9,"fill=b")),1)="#","-",_xll.BDP($B80,K$9,"fill=b")))</f>
        <v>-</v>
      </c>
      <c r="L80" s="233"/>
      <c r="M80" s="234" t="e">
        <f t="shared" si="25"/>
        <v>#VALUE!</v>
      </c>
      <c r="N80" s="252" t="e">
        <f>IF(B80="","",IF(R80="",IF(OR(AD80="SINKABLE",AD80="CALL/SINK"),_xll.BDP(B80,$N$9,$M$9,M80,"PRICING SOURCE",$C$6,"FILL=B"),_xll.BDP(B80,$N$9,$M$9,M80,"PRICING SOURCE",$C$6,"FILL=B")),IF(OR(AD80="SINKABLE",AD80="CALL/SINK"),_xll.BDP(B80,$N$9,$Q$10,S80,$M$9,M80,"PRICING SOURCE",$C$6,"FILL=B"),_xll.BDP(B80,$N$9,$Q$9,S80,$M$9,M80,"PRICING SOURCE",$C$6,"FILL=B"))))</f>
        <v>#VALUE!</v>
      </c>
      <c r="O80" s="235"/>
      <c r="P80" s="236" t="e">
        <f t="shared" si="26"/>
        <v>#VALUE!</v>
      </c>
      <c r="Q80" s="166" t="str">
        <f>IF(ISERROR((IF(OR(AD80="SINKABLE",AD80="CALL/SINK"),_xll.BDP($B80,$Q$10,"fill=b","PRICING_SOURCE",$C$6,$AC80,$N$9,$P80,$M$9,$M80),_xll.BDP($B80,Q$9,"fill=b","PRICING_SOURCE",$C$6,$AC80,$N$9,$P80,$M$9,$M80)))*1),"",IF(OR(AD80="SINKABLE",AD80="CALL/SINK"),_xll.BDP($B80,$Q$10,"fill=b","PRICING_SOURCE",$C$6,$AC80,$N$9,$P80,$M$9,$M80),_xll.BDP($B80,Q$9,"fill=b","PRICING_SOURCE",$C$6,$AC80,$N$9,$P80,$M$9,$M80)))</f>
        <v/>
      </c>
      <c r="R80" s="237"/>
      <c r="S80" s="238" t="str">
        <f t="shared" si="27"/>
        <v/>
      </c>
      <c r="T80" s="239" cm="1">
        <f t="array" ref="T80">IF(ISERROR((_xlfn.SINGLE(IF(OR(AD80="SINKABLE",AD80="CALL/SINK"),_xll.BDP($B80,$Q$10,"fill=b","PRICING_SOURCE",$C$6,$AC80,$M$9,$U80,"px ask",$AE80),_xll.BDP($B80,Q$9,"fill=b","PRICING_SOURCE",$C$6,$AC80,$M$9,$U80,"px ask",$AE80))))*1),"",IF(OR(AD80="SINKABLE",AD80="CALL/SINK"),_xll.BDP($B80,$Q$10,"fill=b","PRICING_SOURCE",$C$6,$AC80,$M$9,$U80,"px ask",$AE80),_xll.BDP($B80,Q$9,"fill=b","PRICING_SOURCE",$C$6,$AC80,$M$9,$U80,"px ask",$AE80)))</f>
        <v>91.254157216649674</v>
      </c>
      <c r="U80" s="240" t="str">
        <f t="shared" si="22"/>
        <v>20130801</v>
      </c>
      <c r="V80" s="254" t="e" cm="1">
        <f t="array" ref="V80">IF(B80="","",IF(I80="BZDIOVRA Index",IF(OR(AD80="SINKABLE",AD80="CALL/SINK"),_xll.BDP($B80,"PX_ASK",$Q$10,J80,$M$9,M80),_xll.BDP($B80,"PX_"&amp;$H$7,$Q$9,J80,$M$9,M80)),_xll.BDP($B80,"PX_"&amp;$H$7,$Q$9,_xll.BDP(B80,"CPN"),$M$9,M80)))</f>
        <v>#VALUE!</v>
      </c>
      <c r="W80" s="254" t="str">
        <f t="shared" si="23"/>
        <v/>
      </c>
      <c r="X80" s="166" t="e">
        <f>IF(B80="","",IF(OR(AD80="SINKABLE",AD80="CALL/SINK"),_xll.BDP($B80,X$9,"fill=b","PRICING_SOURCE",$C$6,$AC80,$M$9,$M80,$N$9,$P80,$Q$10,$S80),_xll.BDP($B80,X$9,"fill=b","PRICING_SOURCE",$C$6,$AC80,$M$9,$M80,$N$9,$P80,$Q$9,$S80)))</f>
        <v>#VALUE!</v>
      </c>
      <c r="Y80" s="166" t="e">
        <f>IF(B80="","",IF(OR(AD80="SINKABLE",AD80="CALL/SINK"),_xll.BDP($B80,Y$9,"fill=b","PRICING_SOURCE",$C$6,$AC80,$M$9,$M80,$N$9,$P80,$Q$10,$S80),_xll.BDP($B80,Y$9,"fill=b","PRICING_SOURCE",$C$6,$AC80,$M$9,$M80,$N$9,$P80,$Q$9,$S80)))</f>
        <v>#VALUE!</v>
      </c>
      <c r="Z80" s="255" t="e">
        <f>IF(B80="","",IF(OR(AD80="SINKABLE",AD80="CALL/SINK"),_xll.BDP($B80,Z$9,"fill=b","PRICING_SOURCE",$C$6,$AC80,$M$9,$M80,$N$9,$P80,$Q$10,$S80),_xll.BDP($B80,Z$9,"fill=b","PRICING_SOURCE",$C$6,$AC80,$M$9,$M80,$N$9,$P80,$Q$9,$S80)))</f>
        <v>#VALUE!</v>
      </c>
      <c r="AA80" s="166" t="e">
        <f>IF(B80="","",IF(OR(AD80="SINKABLE",AD80="CALL/SINK"),_xll.BDP($B80,AA$9,"fill=b","PRICING_SOURCE",$C$6,$AC80,$M$9,$M80,$N$9,$P80,$Q$10,$S80),_xll.BDP($B80,AA$9,"fill=b","PRICING_SOURCE",$C$6,$AC80,$M$9,$M80,$N$9,$P80,$Q$9,$S80)))</f>
        <v>#VALUE!</v>
      </c>
      <c r="AB80" s="150" t="str" cm="1">
        <f t="array" ref="AB80">IF(B80="","",IF(LEFT(_xlfn.SINGLE(_xll.BDP($B80,AB$9,"fill=b")),1)="#","-",_xll.BDP($B80,AB$9,"fill=b")))</f>
        <v>7/15/2020</v>
      </c>
      <c r="AC80" s="150" t="str">
        <f t="shared" si="28"/>
        <v>YLD FLAG=28</v>
      </c>
      <c r="AD80" s="150" t="str" cm="1">
        <f t="array" ref="AD80">IF(B80="","",_xll.BDP($B80,AD$9,"fill=b"))</f>
        <v>SINKABLE</v>
      </c>
      <c r="AE80" s="256" cm="1">
        <f t="array" ref="AE80">IF(B80="","",IF(ISERROR(_xlfn.SINGLE(_xll.BDH(B80,"PX LAST",AN80,AN80,"DAYS=ALL","PRICING SOURCE",$C$6))*1),_xll.BDP(B80,"PAR AMT"),_xll.BDH(B80,"PX LAST",AN80,AN80,"DAYS=ALL","PRICING SOURCE",$C$6)))</f>
        <v>500</v>
      </c>
      <c r="AF80" s="150" cm="1">
        <f t="array" ref="AF80">IF(B80="","",_xll.BDP($B80,AF$9,"fill=b"))</f>
        <v>7.5</v>
      </c>
      <c r="AG80" s="150"/>
      <c r="AH80" s="190">
        <f>IF(B80="","",IF($AD80="AT MATURITY",$AB80*1,_xll.BADDPERIODS(_xll.BDP($B80,"issue dt"),"numberofperiods",TRUNC(_xll.BDP($B80,"YRS_TO_LONGEST_AVG_LIFE","YLD_YTM_BID",AF80,"SETTLE_DT",U80,AC80),0),"per=y")+(ROUND(MOD(_xll.BDP(B80,"YRS_TO_LONGEST_AVG_LIFE","YLD_YTM_BID",AF80,"SETTLE_DT",U80,AC80),1)*360,0))))</f>
        <v>65074</v>
      </c>
      <c r="AI80" s="150" t="e" cm="1">
        <f t="array" ref="AI80">IF(B80="","",AF80-_xll.BInterpol(_xll.BDP(_xll.BDS("YCGT0372 Index","curve members","CURVE_DATE", $U80,"endcol=1","array=true"),"maturity")*1,_xll.BDH(_xll.BDS("YCGT0372 Index","curve members","CURVE_DATE", $U80,"endcol=1","array=true"),"yld cnv mid",$U80,$U80,"days=all"),AH80,"CUBIC","Extrapolate=LINEAR","SKIP=TRUE","SORT=TRUE","MultiX=Average"))</f>
        <v>#VALUE!</v>
      </c>
      <c r="AJ80" s="189" t="str">
        <f t="shared" si="24"/>
        <v/>
      </c>
      <c r="AK80" s="257" t="str" cm="1">
        <f t="array" ref="AK80">IF(B80="","",_xll.BDP($B80,AK$9,"fill=b"))</f>
        <v>185.099MM</v>
      </c>
      <c r="AL80" s="257" t="str" cm="1">
        <f t="array" ref="AL80">IF(B80="","",_xll.BDP($B80,AL$9,"fill=b"))</f>
        <v>0</v>
      </c>
      <c r="AM80" s="256" cm="1">
        <f t="array" ref="AM80">IF(B80="","",_xll.BDP($B80,AM$9,"fill=b"))</f>
        <v>500</v>
      </c>
      <c r="AN80" s="150" t="str" cm="1">
        <f t="array" ref="AN80">IF(B80="","",_xll.BDP($B80,AN$9,"fill=b"))</f>
        <v>8/1/2013</v>
      </c>
      <c r="AO80" s="150" t="str" cm="1">
        <f t="array" ref="AO80">IF(B80="","",IF(LEFT(_xlfn.SINGLE(_xll.BDP($B80,AO$9,"fill=b")),1)="#","-",_xll.BDP($B80,AO$9,"fill=b")))</f>
        <v>JOINT LEADS</v>
      </c>
      <c r="AP80" s="150" t="str" cm="1">
        <f t="array" ref="AP80">IF(B80="","",_xll.BDP($B80,AP$9,"fill=b"))</f>
        <v>Industrial</v>
      </c>
      <c r="AQ80" s="150" t="str" cm="1">
        <f t="array" ref="AQ80">IF(B80="","",_xll.BDP($B80,AQ$9,"fill=b"))</f>
        <v>Transportation</v>
      </c>
      <c r="AR80" s="150" t="str" cm="1">
        <f t="array" ref="AR80">IF(B80="","",_xll.BDP($B80,AR$9,"fill=b"))</f>
        <v>NR</v>
      </c>
      <c r="AS80" s="150" t="str" cm="1">
        <f t="array" ref="AS80">IF(B80="","",_xll.BDP($B80,AS$9,"fill=b"))</f>
        <v/>
      </c>
      <c r="AT80" s="150" t="str" cm="1">
        <f t="array" ref="AT80">IF(B80="","",_xll.BDP($B80,AT$9,"fill=b"))</f>
        <v>NR</v>
      </c>
      <c r="AU80" s="258" t="str" cm="1">
        <f t="array" ref="AU80">IF(B80="","",_xll.BDP($B80,AU$9,"fill=b"))</f>
        <v>CPN = BZCLVLUE INDEX +750BP.</v>
      </c>
    </row>
    <row r="81" spans="2:47" ht="15" x14ac:dyDescent="0.25">
      <c r="B81" s="232" t="s">
        <v>313</v>
      </c>
      <c r="C81" s="150" t="str" cm="1">
        <f t="array" ref="C81">IF(B81="","",_xll.BDP($B81,C$9,"fill=b"))</f>
        <v>JSML26</v>
      </c>
      <c r="D81" s="150" t="str" cm="1">
        <f t="array" ref="D81">IF(B81="","",_xll.BDP($B81,D$9,"fill=b"))</f>
        <v>JSLGBZ Float 07/15/20</v>
      </c>
      <c r="E81" s="150" t="str" cm="1">
        <f t="array" ref="E81">IF(B81="","",_xll.BDP($B81,E$9,"fill=b"))</f>
        <v>JSL SA</v>
      </c>
      <c r="F81" s="150" t="str" cm="1">
        <f t="array" ref="F81">IF(B81="","",IF(LEFT(_xlfn.SINGLE(_xll.BDP($B81,F$9,"fill=b")),1)="#","-",_xll.BDP($B81,F$9,"fill=b")))</f>
        <v>1936410D BZ</v>
      </c>
      <c r="G81" s="150" t="str" cm="1">
        <f t="array" ref="G81">IF(B81="","",_xll.BDP($B81,G$9,"fill=b"))</f>
        <v>BRAZIL DI+SPREAD</v>
      </c>
      <c r="H81" s="150" t="str" cm="1">
        <f t="array" ref="H81">IF(B81="","",_xll.BDP($B81,H$9,"fill=b"))</f>
        <v>OVRA BZDI +220.000</v>
      </c>
      <c r="I81" s="150" t="str" cm="1">
        <f t="array" ref="I81">IF(LEFT(_xlfn.SINGLE(_xll.BDP(B81,"REFERENCE_INDEX")),1)="#",IF(LEFT(_xlfn.SINGLE(_xll.BDP(B81, "RESET_IDX"))&amp;" Index",1)="#","",_xlfn.SINGLE(_xll.BDP(B81, "RESET_IDX"))&amp;" Index"),_xll.BDP(B81,"REFERENCE_INDEX"))</f>
        <v>BZDIOVRA Index</v>
      </c>
      <c r="J81" s="150" cm="1">
        <f t="array" ref="J81">IF(I81="BZDIOVRA Index",IF(_xlfn.SINGLE(_xll.BDP(B81,"FLT_SPREAD"))/100=0,_xll.BDP(B81,"FLT_BENCH_MULTIPLIER"),_xlfn.SINGLE(_xll.BDP(B81,"FLT_SPREAD"))/100),"")</f>
        <v>2.2000000000000002</v>
      </c>
      <c r="K81" s="150" t="str" cm="1">
        <f t="array" ref="K81">IF(B81="","",IF(LEFT(_xlfn.SINGLE(_xll.BDP($B81,K$9,"fill=b")),1)="#","-",_xll.BDP($B81,K$9,"fill=b")))</f>
        <v>-</v>
      </c>
      <c r="L81" s="233"/>
      <c r="M81" s="234" t="e">
        <f t="shared" si="25"/>
        <v>#VALUE!</v>
      </c>
      <c r="N81" s="252" t="e">
        <f>IF(B81="","",IF(R81="",IF(OR(AD81="SINKABLE",AD81="CALL/SINK"),_xll.BDP(B81,$N$9,$M$9,M81,"PRICING SOURCE",$C$6,"FILL=B"),_xll.BDP(B81,$N$9,$M$9,M81,"PRICING SOURCE",$C$6,"FILL=B")),IF(OR(AD81="SINKABLE",AD81="CALL/SINK"),_xll.BDP(B81,$N$9,$Q$10,S81,$M$9,M81,"PRICING SOURCE",$C$6,"FILL=B"),_xll.BDP(B81,$N$9,$Q$9,S81,$M$9,M81,"PRICING SOURCE",$C$6,"FILL=B"))))</f>
        <v>#VALUE!</v>
      </c>
      <c r="O81" s="235"/>
      <c r="P81" s="236" t="e">
        <f t="shared" si="26"/>
        <v>#VALUE!</v>
      </c>
      <c r="Q81" s="166" t="str">
        <f>IF(ISERROR((IF(OR(AD81="SINKABLE",AD81="CALL/SINK"),_xll.BDP($B81,$Q$10,"fill=b","PRICING_SOURCE",$C$6,$AC81,$N$9,$P81,$M$9,$M81),_xll.BDP($B81,Q$9,"fill=b","PRICING_SOURCE",$C$6,$AC81,$N$9,$P81,$M$9,$M81)))*1),"",IF(OR(AD81="SINKABLE",AD81="CALL/SINK"),_xll.BDP($B81,$Q$10,"fill=b","PRICING_SOURCE",$C$6,$AC81,$N$9,$P81,$M$9,$M81),_xll.BDP($B81,Q$9,"fill=b","PRICING_SOURCE",$C$6,$AC81,$N$9,$P81,$M$9,$M81)))</f>
        <v/>
      </c>
      <c r="R81" s="237"/>
      <c r="S81" s="238" t="str">
        <f t="shared" si="27"/>
        <v/>
      </c>
      <c r="T81" s="239" cm="1">
        <f t="array" ref="T81">IF(ISERROR((_xlfn.SINGLE(IF(OR(AD81="SINKABLE",AD81="CALL/SINK"),_xll.BDP($B81,$Q$10,"fill=b","PRICING_SOURCE",$C$6,$AC81,$M$9,$U81,"px ask",$AE81),_xll.BDP($B81,Q$9,"fill=b","PRICING_SOURCE",$C$6,$AC81,$M$9,$U81,"px ask",$AE81))))*1),"",IF(OR(AD81="SINKABLE",AD81="CALL/SINK"),_xll.BDP($B81,$Q$10,"fill=b","PRICING_SOURCE",$C$6,$AC81,$M$9,$U81,"px ask",$AE81),_xll.BDP($B81,Q$9,"fill=b","PRICING_SOURCE",$C$6,$AC81,$M$9,$U81,"px ask",$AE81)))</f>
        <v>37.357078583090406</v>
      </c>
      <c r="U81" s="240" t="str">
        <f t="shared" si="22"/>
        <v>20130731</v>
      </c>
      <c r="V81" s="254" t="e" cm="1">
        <f t="array" ref="V81">IF(B81="","",IF(I81="BZDIOVRA Index",IF(OR(AD81="SINKABLE",AD81="CALL/SINK"),_xll.BDP($B81,"PX_ASK",$Q$10,J81,$M$9,M81),_xll.BDP($B81,"PX_"&amp;$H$7,$Q$9,J81,$M$9,M81)),_xll.BDP($B81,"PX_"&amp;$H$7,$Q$9,_xll.BDP(B81,"CPN"),$M$9,M81)))</f>
        <v>#VALUE!</v>
      </c>
      <c r="W81" s="254" t="str">
        <f t="shared" si="23"/>
        <v/>
      </c>
      <c r="X81" s="166" t="e">
        <f>IF(B81="","",IF(OR(AD81="SINKABLE",AD81="CALL/SINK"),_xll.BDP($B81,X$9,"fill=b","PRICING_SOURCE",$C$6,$AC81,$M$9,$M81,$N$9,$P81,$Q$10,$S81),_xll.BDP($B81,X$9,"fill=b","PRICING_SOURCE",$C$6,$AC81,$M$9,$M81,$N$9,$P81,$Q$9,$S81)))</f>
        <v>#VALUE!</v>
      </c>
      <c r="Y81" s="166" t="e">
        <f>IF(B81="","",IF(OR(AD81="SINKABLE",AD81="CALL/SINK"),_xll.BDP($B81,Y$9,"fill=b","PRICING_SOURCE",$C$6,$AC81,$M$9,$M81,$N$9,$P81,$Q$10,$S81),_xll.BDP($B81,Y$9,"fill=b","PRICING_SOURCE",$C$6,$AC81,$M$9,$M81,$N$9,$P81,$Q$9,$S81)))</f>
        <v>#VALUE!</v>
      </c>
      <c r="Z81" s="255" t="e">
        <f>IF(B81="","",IF(OR(AD81="SINKABLE",AD81="CALL/SINK"),_xll.BDP($B81,Z$9,"fill=b","PRICING_SOURCE",$C$6,$AC81,$M$9,$M81,$N$9,$P81,$Q$10,$S81),_xll.BDP($B81,Z$9,"fill=b","PRICING_SOURCE",$C$6,$AC81,$M$9,$M81,$N$9,$P81,$Q$9,$S81)))</f>
        <v>#VALUE!</v>
      </c>
      <c r="AA81" s="166" t="e">
        <f>IF(B81="","",IF(OR(AD81="SINKABLE",AD81="CALL/SINK"),_xll.BDP($B81,AA$9,"fill=b","PRICING_SOURCE",$C$6,$AC81,$M$9,$M81,$N$9,$P81,$Q$10,$S81),_xll.BDP($B81,AA$9,"fill=b","PRICING_SOURCE",$C$6,$AC81,$M$9,$M81,$N$9,$P81,$Q$9,$S81)))</f>
        <v>#VALUE!</v>
      </c>
      <c r="AB81" s="150" t="str" cm="1">
        <f t="array" ref="AB81">IF(B81="","",IF(LEFT(_xlfn.SINGLE(_xll.BDP($B81,AB$9,"fill=b")),1)="#","-",_xll.BDP($B81,AB$9,"fill=b")))</f>
        <v>7/15/2020</v>
      </c>
      <c r="AC81" s="150" t="str">
        <f t="shared" si="28"/>
        <v>YLD FLAG=28</v>
      </c>
      <c r="AD81" s="150" t="str" cm="1">
        <f t="array" ref="AD81">IF(B81="","",_xll.BDP($B81,AD$9,"fill=b"))</f>
        <v>SINKABLE</v>
      </c>
      <c r="AE81" s="256" cm="1">
        <f t="array" ref="AE81">IF(B81="","",IF(ISERROR(_xlfn.SINGLE(_xll.BDH(B81,"PX LAST",AN81,AN81,"DAYS=ALL","PRICING SOURCE",$C$6))*1),_xll.BDP(B81,"PAR AMT"),_xll.BDH(B81,"PX LAST",AN81,AN81,"DAYS=ALL","PRICING SOURCE",$C$6)))</f>
        <v>340</v>
      </c>
      <c r="AF81" s="150" cm="1">
        <f t="array" ref="AF81">IF(B81="","",_xll.BDP($B81,AF$9,"fill=b"))</f>
        <v>2.778513529</v>
      </c>
      <c r="AG81" s="150"/>
      <c r="AH81" s="190">
        <f>IF(B81="","",IF($AD81="AT MATURITY",$AB81*1,_xll.BADDPERIODS(_xll.BDP($B81,"issue dt"),"numberofperiods",TRUNC(_xll.BDP($B81,"YRS_TO_LONGEST_AVG_LIFE","YLD_YTM_BID",AF81,"SETTLE_DT",U81,AC81),0),"per=y")+(ROUND(MOD(_xll.BDP(B81,"YRS_TO_LONGEST_AVG_LIFE","YLD_YTM_BID",AF81,"SETTLE_DT",U81,AC81),1)*360,0))))</f>
        <v>43661</v>
      </c>
      <c r="AI81" s="150" t="e" cm="1">
        <f t="array" ref="AI81">IF(B81="","",AF81-_xll.BInterpol(_xll.BDP(_xll.BDS("YCGT0372 Index","curve members","CURVE_DATE", $U81,"endcol=1","array=true"),"maturity")*1,_xll.BDH(_xll.BDS("YCGT0372 Index","curve members","CURVE_DATE", $U81,"endcol=1","array=true"),"yld cnv mid",$U81,$U81,"days=all"),AH81,"CUBIC","Extrapolate=LINEAR","SKIP=TRUE","SORT=TRUE","MultiX=Average"))</f>
        <v>#VALUE!</v>
      </c>
      <c r="AJ81" s="189">
        <f t="shared" si="24"/>
        <v>2.2000000000000002</v>
      </c>
      <c r="AK81" s="257" t="str" cm="1">
        <f t="array" ref="AK81">IF(B81="","",_xll.BDP($B81,AK$9,"fill=b"))</f>
        <v>62.472MM</v>
      </c>
      <c r="AL81" s="257" t="str" cm="1">
        <f t="array" ref="AL81">IF(B81="","",_xll.BDP($B81,AL$9,"fill=b"))</f>
        <v>0</v>
      </c>
      <c r="AM81" s="256" cm="1">
        <f t="array" ref="AM81">IF(B81="","",_xll.BDP($B81,AM$9,"fill=b"))</f>
        <v>340</v>
      </c>
      <c r="AN81" s="150" t="str" cm="1">
        <f t="array" ref="AN81">IF(B81="","",_xll.BDP($B81,AN$9,"fill=b"))</f>
        <v>7/31/2013</v>
      </c>
      <c r="AO81" s="150" t="str" cm="1">
        <f t="array" ref="AO81">IF(B81="","",IF(LEFT(_xlfn.SINGLE(_xll.BDP($B81,AO$9,"fill=b")),1)="#","-",_xll.BDP($B81,AO$9,"fill=b")))</f>
        <v>JOINT LEADS</v>
      </c>
      <c r="AP81" s="150" t="str" cm="1">
        <f t="array" ref="AP81">IF(B81="","",_xll.BDP($B81,AP$9,"fill=b"))</f>
        <v>Industrial</v>
      </c>
      <c r="AQ81" s="150" t="str" cm="1">
        <f t="array" ref="AQ81">IF(B81="","",_xll.BDP($B81,AQ$9,"fill=b"))</f>
        <v>Transportation</v>
      </c>
      <c r="AR81" s="150" t="str" cm="1">
        <f t="array" ref="AR81">IF(B81="","",_xll.BDP($B81,AR$9,"fill=b"))</f>
        <v>NR</v>
      </c>
      <c r="AS81" s="150" t="str" cm="1">
        <f t="array" ref="AS81">IF(B81="","",_xll.BDP($B81,AS$9,"fill=b"))</f>
        <v/>
      </c>
      <c r="AT81" s="150" t="str" cm="1">
        <f t="array" ref="AT81">IF(B81="","",_xll.BDP($B81,AT$9,"fill=b"))</f>
        <v>NR</v>
      </c>
      <c r="AU81" s="258" t="str" cm="1">
        <f t="array" ref="AU81">IF(B81="","",_xll.BDP($B81,AU$9,"fill=b"))</f>
        <v>CPN = BZDIOVRA INDEX + 220BP.</v>
      </c>
    </row>
    <row r="82" spans="2:47" ht="15" x14ac:dyDescent="0.25">
      <c r="B82" s="232" t="s">
        <v>340</v>
      </c>
      <c r="C82" s="150" t="str" cm="1">
        <f t="array" ref="C82">IF(B82="","",_xll.BDP($B82,C$9,"fill=b"))</f>
        <v>JSML16</v>
      </c>
      <c r="D82" s="150" t="str" cm="1">
        <f t="array" ref="D82">IF(B82="","",_xll.BDP($B82,D$9,"fill=b"))</f>
        <v>JSLGBZ Float 07/15/18</v>
      </c>
      <c r="E82" s="150" t="str" cm="1">
        <f t="array" ref="E82">IF(B82="","",_xll.BDP($B82,E$9,"fill=b"))</f>
        <v>JSL SA</v>
      </c>
      <c r="F82" s="150" t="str" cm="1">
        <f t="array" ref="F82">IF(B82="","",IF(LEFT(_xlfn.SINGLE(_xll.BDP($B82,F$9,"fill=b")),1)="#","-",_xll.BDP($B82,F$9,"fill=b")))</f>
        <v>1936410D BZ</v>
      </c>
      <c r="G82" s="150" t="str" cm="1">
        <f t="array" ref="G82">IF(B82="","",_xll.BDP($B82,G$9,"fill=b"))</f>
        <v>BRAZIL DI+SPREAD</v>
      </c>
      <c r="H82" s="150" t="str" cm="1">
        <f t="array" ref="H82">IF(B82="","",_xll.BDP($B82,H$9,"fill=b"))</f>
        <v>OVRA BZDI +180.000</v>
      </c>
      <c r="I82" s="150" t="str" cm="1">
        <f t="array" ref="I82">IF(LEFT(_xlfn.SINGLE(_xll.BDP(B82,"REFERENCE_INDEX")),1)="#",IF(LEFT(_xlfn.SINGLE(_xll.BDP(B82, "RESET_IDX"))&amp;" Index",1)="#","",_xlfn.SINGLE(_xll.BDP(B82, "RESET_IDX"))&amp;" Index"),_xll.BDP(B82,"REFERENCE_INDEX"))</f>
        <v>BZDIOVRA Index</v>
      </c>
      <c r="J82" s="150" cm="1">
        <f t="array" ref="J82">IF(I82="BZDIOVRA Index",IF(_xlfn.SINGLE(_xll.BDP(B82,"FLT_SPREAD"))/100=0,_xll.BDP(B82,"FLT_BENCH_MULTIPLIER"),_xlfn.SINGLE(_xll.BDP(B82,"FLT_SPREAD"))/100),"")</f>
        <v>1.8</v>
      </c>
      <c r="K82" s="150" t="str" cm="1">
        <f t="array" ref="K82">IF(B82="","",IF(LEFT(_xlfn.SINGLE(_xll.BDP($B82,K$9,"fill=b")),1)="#","-",_xll.BDP($B82,K$9,"fill=b")))</f>
        <v>-</v>
      </c>
      <c r="L82" s="233"/>
      <c r="M82" s="234" t="e">
        <f t="shared" si="25"/>
        <v>#VALUE!</v>
      </c>
      <c r="N82" s="252" t="e">
        <f>IF(B82="","",IF(R82="",IF(OR(AD82="SINKABLE",AD82="CALL/SINK"),_xll.BDP(B82,$N$9,$M$9,M82,"PRICING SOURCE",$C$6,"FILL=B"),_xll.BDP(B82,$N$9,$M$9,M82,"PRICING SOURCE",$C$6,"FILL=B")),IF(OR(AD82="SINKABLE",AD82="CALL/SINK"),_xll.BDP(B82,$N$9,$Q$10,S82,$M$9,M82,"PRICING SOURCE",$C$6,"FILL=B"),_xll.BDP(B82,$N$9,$Q$9,S82,$M$9,M82,"PRICING SOURCE",$C$6,"FILL=B"))))</f>
        <v>#VALUE!</v>
      </c>
      <c r="O82" s="235"/>
      <c r="P82" s="236" t="e">
        <f t="shared" si="26"/>
        <v>#VALUE!</v>
      </c>
      <c r="Q82" s="166" t="str">
        <f>IF(ISERROR((IF(OR(AD82="SINKABLE",AD82="CALL/SINK"),_xll.BDP($B82,$Q$10,"fill=b","PRICING_SOURCE",$C$6,$AC82,$N$9,$P82,$M$9,$M82),_xll.BDP($B82,Q$9,"fill=b","PRICING_SOURCE",$C$6,$AC82,$N$9,$P82,$M$9,$M82)))*1),"",IF(OR(AD82="SINKABLE",AD82="CALL/SINK"),_xll.BDP($B82,$Q$10,"fill=b","PRICING_SOURCE",$C$6,$AC82,$N$9,$P82,$M$9,$M82),_xll.BDP($B82,Q$9,"fill=b","PRICING_SOURCE",$C$6,$AC82,$N$9,$P82,$M$9,$M82)))</f>
        <v/>
      </c>
      <c r="R82" s="237"/>
      <c r="S82" s="238" t="str">
        <f t="shared" si="27"/>
        <v/>
      </c>
      <c r="T82" s="239" cm="1">
        <f t="array" ref="T82">IF(ISERROR((_xlfn.SINGLE(IF(OR(AD82="SINKABLE",AD82="CALL/SINK"),_xll.BDP($B82,$Q$10,"fill=b","PRICING_SOURCE",$C$6,$AC82,$M$9,$U82,"px ask",$AE82),_xll.BDP($B82,Q$9,"fill=b","PRICING_SOURCE",$C$6,$AC82,$M$9,$U82,"px ask",$AE82))))*1),"",IF(OR(AD82="SINKABLE",AD82="CALL/SINK"),_xll.BDP($B82,$Q$10,"fill=b","PRICING_SOURCE",$C$6,$AC82,$M$9,$U82,"px ask",$AE82),_xll.BDP($B82,Q$9,"fill=b","PRICING_SOURCE",$C$6,$AC82,$M$9,$U82,"px ask",$AE82)))</f>
        <v>1.9646590185169568</v>
      </c>
      <c r="U82" s="240" t="str">
        <f t="shared" si="22"/>
        <v>20130730</v>
      </c>
      <c r="V82" s="254" t="e" cm="1">
        <f t="array" ref="V82">IF(B82="","",IF(I82="BZDIOVRA Index",IF(OR(AD82="SINKABLE",AD82="CALL/SINK"),_xll.BDP($B82,"PX_ASK",$Q$10,J82,$M$9,M82),_xll.BDP($B82,"PX_"&amp;$H$7,$Q$9,J82,$M$9,M82)),_xll.BDP($B82,"PX_"&amp;$H$7,$Q$9,_xll.BDP(B82,"CPN"),$M$9,M82)))</f>
        <v>#VALUE!</v>
      </c>
      <c r="W82" s="254" t="str">
        <f t="shared" si="23"/>
        <v/>
      </c>
      <c r="X82" s="166" t="e">
        <f>IF(B82="","",IF(OR(AD82="SINKABLE",AD82="CALL/SINK"),_xll.BDP($B82,X$9,"fill=b","PRICING_SOURCE",$C$6,$AC82,$M$9,$M82,$N$9,$P82,$Q$10,$S82),_xll.BDP($B82,X$9,"fill=b","PRICING_SOURCE",$C$6,$AC82,$M$9,$M82,$N$9,$P82,$Q$9,$S82)))</f>
        <v>#VALUE!</v>
      </c>
      <c r="Y82" s="166" t="e">
        <f>IF(B82="","",IF(OR(AD82="SINKABLE",AD82="CALL/SINK"),_xll.BDP($B82,Y$9,"fill=b","PRICING_SOURCE",$C$6,$AC82,$M$9,$M82,$N$9,$P82,$Q$10,$S82),_xll.BDP($B82,Y$9,"fill=b","PRICING_SOURCE",$C$6,$AC82,$M$9,$M82,$N$9,$P82,$Q$9,$S82)))</f>
        <v>#VALUE!</v>
      </c>
      <c r="Z82" s="255" t="e">
        <f>IF(B82="","",IF(OR(AD82="SINKABLE",AD82="CALL/SINK"),_xll.BDP($B82,Z$9,"fill=b","PRICING_SOURCE",$C$6,$AC82,$M$9,$M82,$N$9,$P82,$Q$10,$S82),_xll.BDP($B82,Z$9,"fill=b","PRICING_SOURCE",$C$6,$AC82,$M$9,$M82,$N$9,$P82,$Q$9,$S82)))</f>
        <v>#VALUE!</v>
      </c>
      <c r="AA82" s="166" t="e">
        <f>IF(B82="","",IF(OR(AD82="SINKABLE",AD82="CALL/SINK"),_xll.BDP($B82,AA$9,"fill=b","PRICING_SOURCE",$C$6,$AC82,$M$9,$M82,$N$9,$P82,$Q$10,$S82),_xll.BDP($B82,AA$9,"fill=b","PRICING_SOURCE",$C$6,$AC82,$M$9,$M82,$N$9,$P82,$Q$9,$S82)))</f>
        <v>#VALUE!</v>
      </c>
      <c r="AB82" s="150" t="str" cm="1">
        <f t="array" ref="AB82">IF(B82="","",IF(LEFT(_xlfn.SINGLE(_xll.BDP($B82,AB$9,"fill=b")),1)="#","-",_xll.BDP($B82,AB$9,"fill=b")))</f>
        <v>7/15/2018</v>
      </c>
      <c r="AC82" s="150" t="str">
        <f t="shared" si="28"/>
        <v>YLD FLAG=1</v>
      </c>
      <c r="AD82" s="150" t="str" cm="1">
        <f t="array" ref="AD82">IF(B82="","",_xll.BDP($B82,AD$9,"fill=b"))</f>
        <v>AT MATURITY</v>
      </c>
      <c r="AE82" s="256" cm="1">
        <f t="array" ref="AE82">IF(B82="","",IF(ISERROR(_xlfn.SINGLE(_xll.BDH(B82,"PX LAST",AN82,AN82,"DAYS=ALL","PRICING SOURCE",$C$6))*1),_xll.BDP(B82,"PAR AMT"),_xll.BDH(B82,"PX LAST",AN82,AN82,"DAYS=ALL","PRICING SOURCE",$C$6)))</f>
        <v>1000</v>
      </c>
      <c r="AF82" s="150" cm="1">
        <f t="array" ref="AF82">IF(B82="","",_xll.BDP($B82,AF$9,"fill=b"))</f>
        <v>4.0987653000000002</v>
      </c>
      <c r="AG82" s="150"/>
      <c r="AH82" s="190">
        <f>IF(B82="","",IF($AD82="AT MATURITY",$AB82*1,_xll.BADDPERIODS(_xll.BDP($B82,"issue dt"),"numberofperiods",TRUNC(_xll.BDP($B82,"YRS_TO_LONGEST_AVG_LIFE","YLD_YTM_BID",AF82,"SETTLE_DT",U82,AC82),0),"per=y")+(ROUND(MOD(_xll.BDP(B82,"YRS_TO_LONGEST_AVG_LIFE","YLD_YTM_BID",AF82,"SETTLE_DT",U82,AC82),1)*360,0))))</f>
        <v>43296</v>
      </c>
      <c r="AI82" s="150" t="e" cm="1">
        <f t="array" ref="AI82">IF(B82="","",AF82-_xll.BInterpol(_xll.BDP(_xll.BDS("YCGT0372 Index","curve members","CURVE_DATE", $U82,"endcol=1","array=true"),"maturity")*1,_xll.BDH(_xll.BDS("YCGT0372 Index","curve members","CURVE_DATE", $U82,"endcol=1","array=true"),"yld cnv mid",$U82,$U82,"days=all"),AH82,"CUBIC","Extrapolate=LINEAR","SKIP=TRUE","SORT=TRUE","MultiX=Average"))</f>
        <v>#VALUE!</v>
      </c>
      <c r="AJ82" s="189">
        <f t="shared" si="24"/>
        <v>1.8</v>
      </c>
      <c r="AK82" s="257" t="str" cm="1">
        <f t="array" ref="AK82">IF(B82="","",_xll.BDP($B82,AK$9,"fill=b"))</f>
        <v>152.429MM</v>
      </c>
      <c r="AL82" s="257" t="str" cm="1">
        <f t="array" ref="AL82">IF(B82="","",_xll.BDP($B82,AL$9,"fill=b"))</f>
        <v>0</v>
      </c>
      <c r="AM82" s="256" cm="1">
        <f t="array" ref="AM82">IF(B82="","",_xll.BDP($B82,AM$9,"fill=b"))</f>
        <v>1000</v>
      </c>
      <c r="AN82" s="150" t="str" cm="1">
        <f t="array" ref="AN82">IF(B82="","",_xll.BDP($B82,AN$9,"fill=b"))</f>
        <v>7/30/2013</v>
      </c>
      <c r="AO82" s="150" t="str" cm="1">
        <f t="array" ref="AO82">IF(B82="","",IF(LEFT(_xlfn.SINGLE(_xll.BDP($B82,AO$9,"fill=b")),1)="#","-",_xll.BDP($B82,AO$9,"fill=b")))</f>
        <v>JOINT LEADS</v>
      </c>
      <c r="AP82" s="150" t="str" cm="1">
        <f t="array" ref="AP82">IF(B82="","",_xll.BDP($B82,AP$9,"fill=b"))</f>
        <v>Industrial</v>
      </c>
      <c r="AQ82" s="150" t="str" cm="1">
        <f t="array" ref="AQ82">IF(B82="","",_xll.BDP($B82,AQ$9,"fill=b"))</f>
        <v>Transportation</v>
      </c>
      <c r="AR82" s="150" t="str" cm="1">
        <f t="array" ref="AR82">IF(B82="","",_xll.BDP($B82,AR$9,"fill=b"))</f>
        <v>NR</v>
      </c>
      <c r="AS82" s="150" t="str" cm="1">
        <f t="array" ref="AS82">IF(B82="","",_xll.BDP($B82,AS$9,"fill=b"))</f>
        <v/>
      </c>
      <c r="AT82" s="150" t="str" cm="1">
        <f t="array" ref="AT82">IF(B82="","",_xll.BDP($B82,AT$9,"fill=b"))</f>
        <v>NR</v>
      </c>
      <c r="AU82" s="258" t="str" cm="1">
        <f t="array" ref="AU82">IF(B82="","",_xll.BDP($B82,AU$9,"fill=b"))</f>
        <v>CPN = BZDIOVRA INDEX + 180BP.</v>
      </c>
    </row>
    <row r="83" spans="2:47" ht="15" x14ac:dyDescent="0.25">
      <c r="B83" s="232" t="s">
        <v>322</v>
      </c>
      <c r="C83" s="150" t="str" cm="1">
        <f t="array" ref="C83">IF(B83="","",_xll.BDP($B83,C$9,"fill=b"))</f>
        <v>RESA11</v>
      </c>
      <c r="D83" s="150" t="str" cm="1">
        <f t="array" ref="D83">IF(B83="","",_xll.BDP($B83,D$9,"fill=b"))</f>
        <v>RAIZBZ Float 10/15/18</v>
      </c>
      <c r="E83" s="150" t="str" cm="1">
        <f t="array" ref="E83">IF(B83="","",_xll.BDP($B83,E$9,"fill=b"))</f>
        <v>RAIZEN ENERGIA SA</v>
      </c>
      <c r="F83" s="150" t="str" cm="1">
        <f t="array" ref="F83">IF(B83="","",IF(LEFT(_xlfn.SINGLE(_xll.BDP($B83,F$9,"fill=b")),1)="#","-",_xll.BDP($B83,F$9,"fill=b")))</f>
        <v>RAIZ4 BZ</v>
      </c>
      <c r="G83" s="150" t="str" cm="1">
        <f t="array" ref="G83">IF(B83="","",_xll.BDP($B83,G$9,"fill=b"))</f>
        <v>BRAZIL DI+SPREAD</v>
      </c>
      <c r="H83" s="150" t="str" cm="1">
        <f t="array" ref="H83">IF(B83="","",_xll.BDP($B83,H$9,"fill=b"))</f>
        <v>OVRA BZDI +89.000</v>
      </c>
      <c r="I83" s="150" t="str" cm="1">
        <f t="array" ref="I83">IF(LEFT(_xlfn.SINGLE(_xll.BDP(B83,"REFERENCE_INDEX")),1)="#",IF(LEFT(_xlfn.SINGLE(_xll.BDP(B83, "RESET_IDX"))&amp;" Index",1)="#","",_xlfn.SINGLE(_xll.BDP(B83, "RESET_IDX"))&amp;" Index"),_xll.BDP(B83,"REFERENCE_INDEX"))</f>
        <v>BZDIOVRA Index</v>
      </c>
      <c r="J83" s="150" cm="1">
        <f t="array" ref="J83">IF(I83="BZDIOVRA Index",IF(_xlfn.SINGLE(_xll.BDP(B83,"FLT_SPREAD"))/100=0,_xll.BDP(B83,"FLT_BENCH_MULTIPLIER"),_xlfn.SINGLE(_xll.BDP(B83,"FLT_SPREAD"))/100),"")</f>
        <v>0.89</v>
      </c>
      <c r="K83" s="150" t="str" cm="1">
        <f t="array" ref="K83">IF(B83="","",IF(LEFT(_xlfn.SINGLE(_xll.BDP($B83,K$9,"fill=b")),1)="#","-",_xll.BDP($B83,K$9,"fill=b")))</f>
        <v>-</v>
      </c>
      <c r="L83" s="233"/>
      <c r="M83" s="234" t="e">
        <f t="shared" si="25"/>
        <v>#VALUE!</v>
      </c>
      <c r="N83" s="252" t="e">
        <f>IF(B83="","",IF(R83="",IF(OR(AD83="SINKABLE",AD83="CALL/SINK"),_xll.BDP(B83,$N$9,$M$9,M83,"PRICING SOURCE",$C$6,"FILL=B"),_xll.BDP(B83,$N$9,$M$9,M83,"PRICING SOURCE",$C$6,"FILL=B")),IF(OR(AD83="SINKABLE",AD83="CALL/SINK"),_xll.BDP(B83,$N$9,$Q$10,S83,$M$9,M83,"PRICING SOURCE",$C$6,"FILL=B"),_xll.BDP(B83,$N$9,$Q$9,S83,$M$9,M83,"PRICING SOURCE",$C$6,"FILL=B"))))</f>
        <v>#VALUE!</v>
      </c>
      <c r="O83" s="235"/>
      <c r="P83" s="236" t="e">
        <f t="shared" si="26"/>
        <v>#VALUE!</v>
      </c>
      <c r="Q83" s="166" t="str">
        <f>IF(ISERROR((IF(OR(AD83="SINKABLE",AD83="CALL/SINK"),_xll.BDP($B83,$Q$10,"fill=b","PRICING_SOURCE",$C$6,$AC83,$N$9,$P83,$M$9,$M83),_xll.BDP($B83,Q$9,"fill=b","PRICING_SOURCE",$C$6,$AC83,$N$9,$P83,$M$9,$M83)))*1),"",IF(OR(AD83="SINKABLE",AD83="CALL/SINK"),_xll.BDP($B83,$Q$10,"fill=b","PRICING_SOURCE",$C$6,$AC83,$N$9,$P83,$M$9,$M83),_xll.BDP($B83,Q$9,"fill=b","PRICING_SOURCE",$C$6,$AC83,$N$9,$P83,$M$9,$M83)))</f>
        <v/>
      </c>
      <c r="R83" s="237"/>
      <c r="S83" s="238" t="str">
        <f t="shared" si="27"/>
        <v/>
      </c>
      <c r="T83" s="239" cm="1">
        <f t="array" ref="T83">IF(ISERROR((_xlfn.SINGLE(IF(OR(AD83="SINKABLE",AD83="CALL/SINK"),_xll.BDP($B83,$Q$10,"fill=b","PRICING_SOURCE",$C$6,$AC83,$M$9,$U83,"px ask",$AE83),_xll.BDP($B83,Q$9,"fill=b","PRICING_SOURCE",$C$6,$AC83,$M$9,$U83,"px ask",$AE83))))*1),"",IF(OR(AD83="SINKABLE",AD83="CALL/SINK"),_xll.BDP($B83,$Q$10,"fill=b","PRICING_SOURCE",$C$6,$AC83,$M$9,$U83,"px ask",$AE83),_xll.BDP($B83,Q$9,"fill=b","PRICING_SOURCE",$C$6,$AC83,$M$9,$U83,"px ask",$AE83)))</f>
        <v>24.324038205496933</v>
      </c>
      <c r="U83" s="240" t="str">
        <f t="shared" si="22"/>
        <v>20131025</v>
      </c>
      <c r="V83" s="254" t="e" cm="1">
        <f t="array" ref="V83">IF(B83="","",IF(I83="BZDIOVRA Index",IF(OR(AD83="SINKABLE",AD83="CALL/SINK"),_xll.BDP($B83,"PX_ASK",$Q$10,J83,$M$9,M83),_xll.BDP($B83,"PX_"&amp;$H$7,$Q$9,J83,$M$9,M83)),_xll.BDP($B83,"PX_"&amp;$H$7,$Q$9,_xll.BDP(B83,"CPN"),$M$9,M83)))</f>
        <v>#VALUE!</v>
      </c>
      <c r="W83" s="254" t="str">
        <f t="shared" si="23"/>
        <v/>
      </c>
      <c r="X83" s="166" t="e">
        <f>IF(B83="","",IF(OR(AD83="SINKABLE",AD83="CALL/SINK"),_xll.BDP($B83,X$9,"fill=b","PRICING_SOURCE",$C$6,$AC83,$M$9,$M83,$N$9,$P83,$Q$10,$S83),_xll.BDP($B83,X$9,"fill=b","PRICING_SOURCE",$C$6,$AC83,$M$9,$M83,$N$9,$P83,$Q$9,$S83)))</f>
        <v>#VALUE!</v>
      </c>
      <c r="Y83" s="166" t="e">
        <f>IF(B83="","",IF(OR(AD83="SINKABLE",AD83="CALL/SINK"),_xll.BDP($B83,Y$9,"fill=b","PRICING_SOURCE",$C$6,$AC83,$M$9,$M83,$N$9,$P83,$Q$10,$S83),_xll.BDP($B83,Y$9,"fill=b","PRICING_SOURCE",$C$6,$AC83,$M$9,$M83,$N$9,$P83,$Q$9,$S83)))</f>
        <v>#VALUE!</v>
      </c>
      <c r="Z83" s="255" t="e">
        <f>IF(B83="","",IF(OR(AD83="SINKABLE",AD83="CALL/SINK"),_xll.BDP($B83,Z$9,"fill=b","PRICING_SOURCE",$C$6,$AC83,$M$9,$M83,$N$9,$P83,$Q$10,$S83),_xll.BDP($B83,Z$9,"fill=b","PRICING_SOURCE",$C$6,$AC83,$M$9,$M83,$N$9,$P83,$Q$9,$S83)))</f>
        <v>#VALUE!</v>
      </c>
      <c r="AA83" s="166" t="e">
        <f>IF(B83="","",IF(OR(AD83="SINKABLE",AD83="CALL/SINK"),_xll.BDP($B83,AA$9,"fill=b","PRICING_SOURCE",$C$6,$AC83,$M$9,$M83,$N$9,$P83,$Q$10,$S83),_xll.BDP($B83,AA$9,"fill=b","PRICING_SOURCE",$C$6,$AC83,$M$9,$M83,$N$9,$P83,$Q$9,$S83)))</f>
        <v>#VALUE!</v>
      </c>
      <c r="AB83" s="150" t="str" cm="1">
        <f t="array" ref="AB83">IF(B83="","",IF(LEFT(_xlfn.SINGLE(_xll.BDP($B83,AB$9,"fill=b")),1)="#","-",_xll.BDP($B83,AB$9,"fill=b")))</f>
        <v>10/15/2018</v>
      </c>
      <c r="AC83" s="150" t="str">
        <f t="shared" si="28"/>
        <v>YLD FLAG=28</v>
      </c>
      <c r="AD83" s="150" t="str" cm="1">
        <f t="array" ref="AD83">IF(B83="","",_xll.BDP($B83,AD$9,"fill=b"))</f>
        <v>SINKABLE</v>
      </c>
      <c r="AE83" s="256" cm="1">
        <f t="array" ref="AE83">IF(B83="","",IF(ISERROR(_xlfn.SINGLE(_xll.BDH(B83,"PX LAST",AN83,AN83,"DAYS=ALL","PRICING SOURCE",$C$6))*1),_xll.BDP(B83,"PAR AMT"),_xll.BDH(B83,"PX LAST",AN83,AN83,"DAYS=ALL","PRICING SOURCE",$C$6)))</f>
        <v>500</v>
      </c>
      <c r="AF83" s="150" cm="1">
        <f t="array" ref="AF83">IF(B83="","",_xll.BDP($B83,AF$9,"fill=b"))</f>
        <v>3.6038614</v>
      </c>
      <c r="AG83" s="150"/>
      <c r="AH83" s="190">
        <f>IF(B83="","",IF($AD83="AT MATURITY",$AB83*1,_xll.BADDPERIODS(_xll.BDP($B83,"issue dt"),"numberofperiods",TRUNC(_xll.BDP($B83,"YRS_TO_LONGEST_AVG_LIFE","YLD_YTM_BID",AF83,"SETTLE_DT",U83,AC83),0),"per=y")+(ROUND(MOD(_xll.BDP(B83,"YRS_TO_LONGEST_AVG_LIFE","YLD_YTM_BID",AF83,"SETTLE_DT",U83,AC83),1)*360,0))))</f>
        <v>43205</v>
      </c>
      <c r="AI83" s="150" t="e" cm="1">
        <f t="array" ref="AI83">IF(B83="","",AF83-_xll.BInterpol(_xll.BDP(_xll.BDS("YCGT0372 Index","curve members","CURVE_DATE", $U83,"endcol=1","array=true"),"maturity")*1,_xll.BDH(_xll.BDS("YCGT0372 Index","curve members","CURVE_DATE", $U83,"endcol=1","array=true"),"yld cnv mid",$U83,$U83,"days=all"),AH83,"CUBIC","Extrapolate=LINEAR","SKIP=TRUE","SORT=TRUE","MultiX=Average"))</f>
        <v>#VALUE!</v>
      </c>
      <c r="AJ83" s="189">
        <f t="shared" si="24"/>
        <v>0.89</v>
      </c>
      <c r="AK83" s="257" t="str" cm="1">
        <f t="array" ref="AK83">IF(B83="","",_xll.BDP($B83,AK$9,"fill=b"))</f>
        <v>105.975MM</v>
      </c>
      <c r="AL83" s="257" t="str" cm="1">
        <f t="array" ref="AL83">IF(B83="","",_xll.BDP($B83,AL$9,"fill=b"))</f>
        <v>0</v>
      </c>
      <c r="AM83" s="256" cm="1">
        <f t="array" ref="AM83">IF(B83="","",_xll.BDP($B83,AM$9,"fill=b"))</f>
        <v>500</v>
      </c>
      <c r="AN83" s="150" t="str" cm="1">
        <f t="array" ref="AN83">IF(B83="","",_xll.BDP($B83,AN$9,"fill=b"))</f>
        <v>10/25/2013</v>
      </c>
      <c r="AO83" s="150" t="str" cm="1">
        <f t="array" ref="AO83">IF(B83="","",IF(LEFT(_xlfn.SINGLE(_xll.BDP($B83,AO$9,"fill=b")),1)="#","-",_xll.BDP($B83,AO$9,"fill=b")))</f>
        <v>JOINT LEADS</v>
      </c>
      <c r="AP83" s="150" t="str" cm="1">
        <f t="array" ref="AP83">IF(B83="","",_xll.BDP($B83,AP$9,"fill=b"))</f>
        <v>Energy</v>
      </c>
      <c r="AQ83" s="150" t="str" cm="1">
        <f t="array" ref="AQ83">IF(B83="","",_xll.BDP($B83,AQ$9,"fill=b"))</f>
        <v>Energy-Alternate Sources</v>
      </c>
      <c r="AR83" s="150" t="str" cm="1">
        <f t="array" ref="AR83">IF(B83="","",_xll.BDP($B83,AR$9,"fill=b"))</f>
        <v>NR</v>
      </c>
      <c r="AS83" s="150" t="str" cm="1">
        <f t="array" ref="AS83">IF(B83="","",_xll.BDP($B83,AS$9,"fill=b"))</f>
        <v>WR</v>
      </c>
      <c r="AT83" s="150" t="str" cm="1">
        <f t="array" ref="AT83">IF(B83="","",_xll.BDP($B83,AT$9,"fill=b"))</f>
        <v/>
      </c>
      <c r="AU83" s="258" t="str" cm="1">
        <f t="array" ref="AU83">IF(B83="","",_xll.BDP($B83,AU$9,"fill=b"))</f>
        <v>CPN = BZDIOVRA INDEX + 89 BPS.</v>
      </c>
    </row>
    <row r="84" spans="2:47" ht="15" x14ac:dyDescent="0.25">
      <c r="B84" s="232" t="s">
        <v>321</v>
      </c>
      <c r="C84" s="150" t="str" cm="1">
        <f t="array" ref="C84">IF(B84="","",_xll.BDP($B84,C$9,"fill=b"))</f>
        <v>LRNE16</v>
      </c>
      <c r="D84" s="150" t="str" cm="1">
        <f t="array" ref="D84">IF(B84="","",_xll.BDP($B84,D$9,"fill=b"))</f>
        <v>LRENSA Float 08/01/18</v>
      </c>
      <c r="E84" s="150" t="str" cm="1">
        <f t="array" ref="E84">IF(B84="","",_xll.BDP($B84,E$9,"fill=b"))</f>
        <v>LOJAS RENNER SA</v>
      </c>
      <c r="F84" s="150" t="str" cm="1">
        <f t="array" ref="F84">IF(B84="","",IF(LEFT(_xlfn.SINGLE(_xll.BDP($B84,F$9,"fill=b")),1)="#","-",_xll.BDP($B84,F$9,"fill=b")))</f>
        <v>LREN3 BZ</v>
      </c>
      <c r="G84" s="150" t="str" cm="1">
        <f t="array" ref="G84">IF(B84="","",_xll.BDP($B84,G$9,"fill=b"))</f>
        <v>BRAZIL DI+SPREAD</v>
      </c>
      <c r="H84" s="150" t="str" cm="1">
        <f t="array" ref="H84">IF(B84="","",_xll.BDP($B84,H$9,"fill=b"))</f>
        <v>OVRA BZDI +85.000</v>
      </c>
      <c r="I84" s="150" t="str" cm="1">
        <f t="array" ref="I84">IF(LEFT(_xlfn.SINGLE(_xll.BDP(B84,"REFERENCE_INDEX")),1)="#",IF(LEFT(_xlfn.SINGLE(_xll.BDP(B84, "RESET_IDX"))&amp;" Index",1)="#","",_xlfn.SINGLE(_xll.BDP(B84, "RESET_IDX"))&amp;" Index"),_xll.BDP(B84,"REFERENCE_INDEX"))</f>
        <v>BZDIOVRA Index</v>
      </c>
      <c r="J84" s="150" cm="1">
        <f t="array" ref="J84">IF(I84="BZDIOVRA Index",IF(_xlfn.SINGLE(_xll.BDP(B84,"FLT_SPREAD"))/100=0,_xll.BDP(B84,"FLT_BENCH_MULTIPLIER"),_xlfn.SINGLE(_xll.BDP(B84,"FLT_SPREAD"))/100),"")</f>
        <v>0.85</v>
      </c>
      <c r="K84" s="150" t="str" cm="1">
        <f t="array" ref="K84">IF(B84="","",IF(LEFT(_xlfn.SINGLE(_xll.BDP($B84,K$9,"fill=b")),1)="#","-",_xll.BDP($B84,K$9,"fill=b")))</f>
        <v>-</v>
      </c>
      <c r="L84" s="233"/>
      <c r="M84" s="234" t="e">
        <f t="shared" si="25"/>
        <v>#VALUE!</v>
      </c>
      <c r="N84" s="252" t="e">
        <f>IF(B84="","",IF(R84="",IF(OR(AD84="SINKABLE",AD84="CALL/SINK"),_xll.BDP(B84,$N$9,$M$9,M84,"PRICING SOURCE",$C$6,"FILL=B"),_xll.BDP(B84,$N$9,$M$9,M84,"PRICING SOURCE",$C$6,"FILL=B")),IF(OR(AD84="SINKABLE",AD84="CALL/SINK"),_xll.BDP(B84,$N$9,$Q$10,S84,$M$9,M84,"PRICING SOURCE",$C$6,"FILL=B"),_xll.BDP(B84,$N$9,$Q$9,S84,$M$9,M84,"PRICING SOURCE",$C$6,"FILL=B"))))</f>
        <v>#VALUE!</v>
      </c>
      <c r="O84" s="235"/>
      <c r="P84" s="236" t="e">
        <f t="shared" si="26"/>
        <v>#VALUE!</v>
      </c>
      <c r="Q84" s="166" t="str">
        <f>IF(ISERROR((IF(OR(AD84="SINKABLE",AD84="CALL/SINK"),_xll.BDP($B84,$Q$10,"fill=b","PRICING_SOURCE",$C$6,$AC84,$N$9,$P84,$M$9,$M84),_xll.BDP($B84,Q$9,"fill=b","PRICING_SOURCE",$C$6,$AC84,$N$9,$P84,$M$9,$M84)))*1),"",IF(OR(AD84="SINKABLE",AD84="CALL/SINK"),_xll.BDP($B84,$Q$10,"fill=b","PRICING_SOURCE",$C$6,$AC84,$N$9,$P84,$M$9,$M84),_xll.BDP($B84,Q$9,"fill=b","PRICING_SOURCE",$C$6,$AC84,$N$9,$P84,$M$9,$M84)))</f>
        <v/>
      </c>
      <c r="R84" s="237"/>
      <c r="S84" s="238" t="str">
        <f t="shared" si="27"/>
        <v/>
      </c>
      <c r="T84" s="239" cm="1">
        <f t="array" ref="T84">IF(ISERROR((_xlfn.SINGLE(IF(OR(AD84="SINKABLE",AD84="CALL/SINK"),_xll.BDP($B84,$Q$10,"fill=b","PRICING_SOURCE",$C$6,$AC84,$M$9,$U84,"px ask",$AE84),_xll.BDP($B84,Q$9,"fill=b","PRICING_SOURCE",$C$6,$AC84,$M$9,$U84,"px ask",$AE84))))*1),"",IF(OR(AD84="SINKABLE",AD84="CALL/SINK"),_xll.BDP($B84,$Q$10,"fill=b","PRICING_SOURCE",$C$6,$AC84,$M$9,$U84,"px ask",$AE84),_xll.BDP($B84,Q$9,"fill=b","PRICING_SOURCE",$C$6,$AC84,$M$9,$U84,"px ask",$AE84)))</f>
        <v>24.206775167351747</v>
      </c>
      <c r="U84" s="240" t="str">
        <f t="shared" si="22"/>
        <v>20130820</v>
      </c>
      <c r="V84" s="254" t="e" cm="1">
        <f t="array" ref="V84">IF(B84="","",IF(I84="BZDIOVRA Index",IF(OR(AD84="SINKABLE",AD84="CALL/SINK"),_xll.BDP($B84,"PX_ASK",$Q$10,J84,$M$9,M84),_xll.BDP($B84,"PX_"&amp;$H$7,$Q$9,J84,$M$9,M84)),_xll.BDP($B84,"PX_"&amp;$H$7,$Q$9,_xll.BDP(B84,"CPN"),$M$9,M84)))</f>
        <v>#VALUE!</v>
      </c>
      <c r="W84" s="254" t="str">
        <f t="shared" si="23"/>
        <v/>
      </c>
      <c r="X84" s="166" t="e">
        <f>IF(B84="","",IF(OR(AD84="SINKABLE",AD84="CALL/SINK"),_xll.BDP($B84,X$9,"fill=b","PRICING_SOURCE",$C$6,$AC84,$M$9,$M84,$N$9,$P84,$Q$10,$S84),_xll.BDP($B84,X$9,"fill=b","PRICING_SOURCE",$C$6,$AC84,$M$9,$M84,$N$9,$P84,$Q$9,$S84)))</f>
        <v>#VALUE!</v>
      </c>
      <c r="Y84" s="166" t="e">
        <f>IF(B84="","",IF(OR(AD84="SINKABLE",AD84="CALL/SINK"),_xll.BDP($B84,Y$9,"fill=b","PRICING_SOURCE",$C$6,$AC84,$M$9,$M84,$N$9,$P84,$Q$10,$S84),_xll.BDP($B84,Y$9,"fill=b","PRICING_SOURCE",$C$6,$AC84,$M$9,$M84,$N$9,$P84,$Q$9,$S84)))</f>
        <v>#VALUE!</v>
      </c>
      <c r="Z84" s="255" t="e">
        <f>IF(B84="","",IF(OR(AD84="SINKABLE",AD84="CALL/SINK"),_xll.BDP($B84,Z$9,"fill=b","PRICING_SOURCE",$C$6,$AC84,$M$9,$M84,$N$9,$P84,$Q$10,$S84),_xll.BDP($B84,Z$9,"fill=b","PRICING_SOURCE",$C$6,$AC84,$M$9,$M84,$N$9,$P84,$Q$9,$S84)))</f>
        <v>#VALUE!</v>
      </c>
      <c r="AA84" s="166" t="e">
        <f>IF(B84="","",IF(OR(AD84="SINKABLE",AD84="CALL/SINK"),_xll.BDP($B84,AA$9,"fill=b","PRICING_SOURCE",$C$6,$AC84,$M$9,$M84,$N$9,$P84,$Q$10,$S84),_xll.BDP($B84,AA$9,"fill=b","PRICING_SOURCE",$C$6,$AC84,$M$9,$M84,$N$9,$P84,$Q$9,$S84)))</f>
        <v>#VALUE!</v>
      </c>
      <c r="AB84" s="150" t="str" cm="1">
        <f t="array" ref="AB84">IF(B84="","",IF(LEFT(_xlfn.SINGLE(_xll.BDP($B84,AB$9,"fill=b")),1)="#","-",_xll.BDP($B84,AB$9,"fill=b")))</f>
        <v>8/1/2018</v>
      </c>
      <c r="AC84" s="150" t="str">
        <f t="shared" si="28"/>
        <v>YLD FLAG=28</v>
      </c>
      <c r="AD84" s="150" t="str" cm="1">
        <f t="array" ref="AD84">IF(B84="","",_xll.BDP($B84,AD$9,"fill=b"))</f>
        <v>CALL/SINK</v>
      </c>
      <c r="AE84" s="256" cm="1">
        <f t="array" ref="AE84">IF(B84="","",IF(ISERROR(_xlfn.SINGLE(_xll.BDH(B84,"PX LAST",AN84,AN84,"DAYS=ALL","PRICING SOURCE",$C$6))*1),_xll.BDP(B84,"PAR AMT"),_xll.BDH(B84,"PX LAST",AN84,AN84,"DAYS=ALL","PRICING SOURCE",$C$6)))</f>
        <v>5000</v>
      </c>
      <c r="AF84" s="150" cm="1">
        <f t="array" ref="AF84">IF(B84="","",_xll.BDP($B84,AF$9,"fill=b"))</f>
        <v>3.5617596800000002</v>
      </c>
      <c r="AG84" s="150"/>
      <c r="AH84" s="190">
        <f>IF(B84="","",IF($AD84="AT MATURITY",$AB84*1,_xll.BADDPERIODS(_xll.BDP($B84,"issue dt"),"numberofperiods",TRUNC(_xll.BDP($B84,"YRS_TO_LONGEST_AVG_LIFE","YLD_YTM_BID",AF84,"SETTLE_DT",U84,AC84),0),"per=y")+(ROUND(MOD(_xll.BDP(B84,"YRS_TO_LONGEST_AVG_LIFE","YLD_YTM_BID",AF84,"SETTLE_DT",U84,AC84),1)*360,0))))</f>
        <v>43130</v>
      </c>
      <c r="AI84" s="150" t="e" cm="1">
        <f t="array" ref="AI84">IF(B84="","",AF84-_xll.BInterpol(_xll.BDP(_xll.BDS("YCGT0372 Index","curve members","CURVE_DATE", $U84,"endcol=1","array=true"),"maturity")*1,_xll.BDH(_xll.BDS("YCGT0372 Index","curve members","CURVE_DATE", $U84,"endcol=1","array=true"),"yld cnv mid",$U84,$U84,"days=all"),AH84,"CUBIC","Extrapolate=LINEAR","SKIP=TRUE","SORT=TRUE","MultiX=Average"))</f>
        <v>#VALUE!</v>
      </c>
      <c r="AJ84" s="189">
        <f t="shared" si="24"/>
        <v>0.85</v>
      </c>
      <c r="AK84" s="257" t="str" cm="1">
        <f t="array" ref="AK84">IF(B84="","",_xll.BDP($B84,AK$9,"fill=b"))</f>
        <v>400MM</v>
      </c>
      <c r="AL84" s="257" t="str" cm="1">
        <f t="array" ref="AL84">IF(B84="","",_xll.BDP($B84,AL$9,"fill=b"))</f>
        <v>0</v>
      </c>
      <c r="AM84" s="256" cm="1">
        <f t="array" ref="AM84">IF(B84="","",_xll.BDP($B84,AM$9,"fill=b"))</f>
        <v>5000</v>
      </c>
      <c r="AN84" s="150" t="str" cm="1">
        <f t="array" ref="AN84">IF(B84="","",_xll.BDP($B84,AN$9,"fill=b"))</f>
        <v>8/20/2013</v>
      </c>
      <c r="AO84" s="150" t="str" cm="1">
        <f t="array" ref="AO84">IF(B84="","",IF(LEFT(_xlfn.SINGLE(_xll.BDP($B84,AO$9,"fill=b")),1)="#","-",_xll.BDP($B84,AO$9,"fill=b")))</f>
        <v>BBBBI</v>
      </c>
      <c r="AP84" s="150" t="str" cm="1">
        <f t="array" ref="AP84">IF(B84="","",_xll.BDP($B84,AP$9,"fill=b"))</f>
        <v>Consumer, Cyclical</v>
      </c>
      <c r="AQ84" s="150" t="str" cm="1">
        <f t="array" ref="AQ84">IF(B84="","",_xll.BDP($B84,AQ$9,"fill=b"))</f>
        <v>Retail</v>
      </c>
      <c r="AR84" s="150" t="str" cm="1">
        <f t="array" ref="AR84">IF(B84="","",_xll.BDP($B84,AR$9,"fill=b"))</f>
        <v>NR</v>
      </c>
      <c r="AS84" s="150" t="str" cm="1">
        <f t="array" ref="AS84">IF(B84="","",_xll.BDP($B84,AS$9,"fill=b"))</f>
        <v/>
      </c>
      <c r="AT84" s="150" t="str" cm="1">
        <f t="array" ref="AT84">IF(B84="","",_xll.BDP($B84,AT$9,"fill=b"))</f>
        <v/>
      </c>
      <c r="AU84" s="258" t="str" cm="1">
        <f t="array" ref="AU84">IF(B84="","",_xll.BDP($B84,AU$9,"fill=b"))</f>
        <v>CPN = BZDIOVRA INDEX + 85 BPS. ISSUED UNDER ICVM 476/09.</v>
      </c>
    </row>
    <row r="85" spans="2:47" ht="15" x14ac:dyDescent="0.25">
      <c r="B85" s="232" t="s">
        <v>255</v>
      </c>
      <c r="C85" s="150" t="str" cm="1">
        <f t="array" ref="C85">IF(B85="","",_xll.BDP($B85,C$9,"fill=b"))</f>
        <v>TOWE12</v>
      </c>
      <c r="D85" s="150" t="str" cm="1">
        <f t="array" ref="D85">IF(B85="","",_xll.BDP($B85,D$9,"fill=b"))</f>
        <v>BRTPBZ 7.4 10/15/23</v>
      </c>
      <c r="E85" s="150" t="str" cm="1">
        <f t="array" ref="E85">IF(B85="","",_xll.BDP($B85,E$9,"fill=b"))</f>
        <v>BR TOWERS SPE1 SA</v>
      </c>
      <c r="F85" s="150" t="str" cm="1">
        <f t="array" ref="F85">IF(B85="","",IF(LEFT(_xlfn.SINGLE(_xll.BDP($B85,F$9,"fill=b")),1)="#","-",_xll.BDP($B85,F$9,"fill=b")))</f>
        <v>0919227D BZ</v>
      </c>
      <c r="G85" s="150" t="str" cm="1">
        <f t="array" ref="G85">IF(B85="","",_xll.BDP($B85,G$9,"fill=b"))</f>
        <v>BRAZIL IPCA+SPREAD</v>
      </c>
      <c r="H85" s="150" t="str" cm="1">
        <f t="array" ref="H85">IF(B85="","",_xll.BDP($B85,H$9,"fill=b"))</f>
        <v/>
      </c>
      <c r="I85" s="150" t="str" cm="1">
        <f t="array" ref="I85">IF(LEFT(_xlfn.SINGLE(_xll.BDP(B85,"REFERENCE_INDEX")),1)="#",IF(LEFT(_xlfn.SINGLE(_xll.BDP(B85, "RESET_IDX"))&amp;" Index",1)="#","",_xlfn.SINGLE(_xll.BDP(B85, "RESET_IDX"))&amp;" Index"),_xll.BDP(B85,"REFERENCE_INDEX"))</f>
        <v>BZCLVLUE Index</v>
      </c>
      <c r="J85" s="150" t="str">
        <f>IF(I85="BZDIOVRA Index",IF(_xll.BDP(B85,"FLT_SPREAD")/100=0,_xll.BDP(B85,"FLT_BENCH_MULTIPLIER"),_xll.BDP(B85,"FLT_SPREAD")/100),"")</f>
        <v/>
      </c>
      <c r="K85" s="150" t="str" cm="1">
        <f t="array" ref="K85">IF(B85="","",IF(LEFT(_xlfn.SINGLE(_xll.BDP($B85,K$9,"fill=b")),1)="#","-",_xll.BDP($B85,K$9,"fill=b")))</f>
        <v>-</v>
      </c>
      <c r="L85" s="233"/>
      <c r="M85" s="234" t="e">
        <f t="shared" si="25"/>
        <v>#VALUE!</v>
      </c>
      <c r="N85" s="252" t="e">
        <f>IF(B85="","",IF(R85="",IF(OR(AD85="SINKABLE",AD85="CALL/SINK"),_xll.BDP(B85,$N$9,$M$9,M85,"PRICING SOURCE",$C$6,"FILL=B"),_xll.BDP(B85,$N$9,$M$9,M85,"PRICING SOURCE",$C$6,"FILL=B")),IF(OR(AD85="SINKABLE",AD85="CALL/SINK"),_xll.BDP(B85,$N$9,$Q$10,S85,$M$9,M85,"PRICING SOURCE",$C$6,"FILL=B"),_xll.BDP(B85,$N$9,$Q$9,S85,$M$9,M85,"PRICING SOURCE",$C$6,"FILL=B"))))</f>
        <v>#VALUE!</v>
      </c>
      <c r="O85" s="235"/>
      <c r="P85" s="236" t="e">
        <f t="shared" si="26"/>
        <v>#VALUE!</v>
      </c>
      <c r="Q85" s="166" t="str">
        <f>IF(ISERROR((IF(OR(AD85="SINKABLE",AD85="CALL/SINK"),_xll.BDP($B85,$Q$10,"fill=b","PRICING_SOURCE",$C$6,$AC85,$N$9,$P85,$M$9,$M85),_xll.BDP($B85,Q$9,"fill=b","PRICING_SOURCE",$C$6,$AC85,$N$9,$P85,$M$9,$M85)))*1),"",IF(OR(AD85="SINKABLE",AD85="CALL/SINK"),_xll.BDP($B85,$Q$10,"fill=b","PRICING_SOURCE",$C$6,$AC85,$N$9,$P85,$M$9,$M85),_xll.BDP($B85,Q$9,"fill=b","PRICING_SOURCE",$C$6,$AC85,$N$9,$P85,$M$9,$M85)))</f>
        <v/>
      </c>
      <c r="R85" s="237"/>
      <c r="S85" s="238" t="str">
        <f t="shared" si="27"/>
        <v/>
      </c>
      <c r="T85" s="239" cm="1">
        <f t="array" ref="T85">IF(ISERROR((_xlfn.SINGLE(IF(OR(AD85="SINKABLE",AD85="CALL/SINK"),_xll.BDP($B85,$Q$10,"fill=b","PRICING_SOURCE",$C$6,$AC85,$M$9,$U85,"px ask",$AE85),_xll.BDP($B85,Q$9,"fill=b","PRICING_SOURCE",$C$6,$AC85,$M$9,$U85,"px ask",$AE85))))*1),"",IF(OR(AD85="SINKABLE",AD85="CALL/SINK"),_xll.BDP($B85,$Q$10,"fill=b","PRICING_SOURCE",$C$6,$AC85,$M$9,$U85,"px ask",$AE85),_xll.BDP($B85,Q$9,"fill=b","PRICING_SOURCE",$C$6,$AC85,$M$9,$U85,"px ask",$AE85)))</f>
        <v>23369.743733751377</v>
      </c>
      <c r="U85" s="240" t="str">
        <f t="shared" si="22"/>
        <v>20131029</v>
      </c>
      <c r="V85" s="254" t="e" cm="1">
        <f t="array" ref="V85">IF(B85="","",IF(I85="BZDIOVRA Index",IF(OR(AD85="SINKABLE",AD85="CALL/SINK"),_xll.BDP($B85,"PX_ASK",$Q$10,J85,$M$9,M85),_xll.BDP($B85,"PX_"&amp;$H$7,$Q$9,J85,$M$9,M85)),_xll.BDP($B85,"PX_"&amp;$H$7,$Q$9,_xll.BDP(B85,"CPN"),$M$9,M85)))</f>
        <v>#VALUE!</v>
      </c>
      <c r="W85" s="254" t="str">
        <f t="shared" si="23"/>
        <v/>
      </c>
      <c r="X85" s="166" t="e">
        <f>IF(B85="","",IF(OR(AD85="SINKABLE",AD85="CALL/SINK"),_xll.BDP($B85,X$9,"fill=b","PRICING_SOURCE",$C$6,$AC85,$M$9,$M85,$N$9,$P85,$Q$10,$S85),_xll.BDP($B85,X$9,"fill=b","PRICING_SOURCE",$C$6,$AC85,$M$9,$M85,$N$9,$P85,$Q$9,$S85)))</f>
        <v>#VALUE!</v>
      </c>
      <c r="Y85" s="166" t="e">
        <f>IF(B85="","",IF(OR(AD85="SINKABLE",AD85="CALL/SINK"),_xll.BDP($B85,Y$9,"fill=b","PRICING_SOURCE",$C$6,$AC85,$M$9,$M85,$N$9,$P85,$Q$10,$S85),_xll.BDP($B85,Y$9,"fill=b","PRICING_SOURCE",$C$6,$AC85,$M$9,$M85,$N$9,$P85,$Q$9,$S85)))</f>
        <v>#VALUE!</v>
      </c>
      <c r="Z85" s="255" t="e">
        <f>IF(B85="","",IF(OR(AD85="SINKABLE",AD85="CALL/SINK"),_xll.BDP($B85,Z$9,"fill=b","PRICING_SOURCE",$C$6,$AC85,$M$9,$M85,$N$9,$P85,$Q$10,$S85),_xll.BDP($B85,Z$9,"fill=b","PRICING_SOURCE",$C$6,$AC85,$M$9,$M85,$N$9,$P85,$Q$9,$S85)))</f>
        <v>#VALUE!</v>
      </c>
      <c r="AA85" s="166" t="e">
        <f>IF(B85="","",IF(OR(AD85="SINKABLE",AD85="CALL/SINK"),_xll.BDP($B85,AA$9,"fill=b","PRICING_SOURCE",$C$6,$AC85,$M$9,$M85,$N$9,$P85,$Q$10,$S85),_xll.BDP($B85,AA$9,"fill=b","PRICING_SOURCE",$C$6,$AC85,$M$9,$M85,$N$9,$P85,$Q$9,$S85)))</f>
        <v>#VALUE!</v>
      </c>
      <c r="AB85" s="150" t="str" cm="1">
        <f t="array" ref="AB85">IF(B85="","",IF(LEFT(_xlfn.SINGLE(_xll.BDP($B85,AB$9,"fill=b")),1)="#","-",_xll.BDP($B85,AB$9,"fill=b")))</f>
        <v>10/15/2023</v>
      </c>
      <c r="AC85" s="150" t="str">
        <f t="shared" si="28"/>
        <v>YLD FLAG=28</v>
      </c>
      <c r="AD85" s="150" t="str" cm="1">
        <f t="array" ref="AD85">IF(B85="","",_xll.BDP($B85,AD$9,"fill=b"))</f>
        <v>CALL/SINK</v>
      </c>
      <c r="AE85" s="256" cm="1">
        <f t="array" ref="AE85">IF(B85="","",IF(ISERROR(_xlfn.SINGLE(_xll.BDH(B85,"PX LAST",AN85,AN85,"DAYS=ALL","PRICING SOURCE",$C$6))*1),_xll.BDP(B85,"PAR AMT"),_xll.BDH(B85,"PX LAST",AN85,AN85,"DAYS=ALL","PRICING SOURCE",$C$6)))</f>
        <v>374</v>
      </c>
      <c r="AF85" s="150" cm="1">
        <f t="array" ref="AF85">IF(B85="","",_xll.BDP($B85,AF$9,"fill=b"))</f>
        <v>7.4</v>
      </c>
      <c r="AG85" s="150"/>
      <c r="AH85" s="190" t="e">
        <f>IF(B85="","",IF($AD85="AT MATURITY",$AB85*1,_xll.BADDPERIODS(_xll.BDP($B85,"issue dt"),"numberofperiods",TRUNC(_xll.BDP($B85,"YRS_TO_LONGEST_AVG_LIFE","YLD_YTM_BID",AF85,"SETTLE_DT",U85,AC85),0),"per=y")+(ROUND(MOD(_xll.BDP(B85,"YRS_TO_LONGEST_AVG_LIFE","YLD_YTM_BID",AF85,"SETTLE_DT",U85,AC85),1)*360,0))))</f>
        <v>#VALUE!</v>
      </c>
      <c r="AI85" s="150" t="e" cm="1">
        <f t="array" ref="AI85">IF(B85="","",AF85-_xll.BInterpol(_xll.BDP(_xll.BDS("YCGT0372 Index","curve members","CURVE_DATE", $U85,"endcol=1","array=true"),"maturity")*1,_xll.BDH(_xll.BDS("YCGT0372 Index","curve members","CURVE_DATE", $U85,"endcol=1","array=true"),"yld cnv mid",$U85,$U85,"days=all"),AH85,"CUBIC","Extrapolate=LINEAR","SKIP=TRUE","SORT=TRUE","MultiX=Average"))</f>
        <v>#VALUE!</v>
      </c>
      <c r="AJ85" s="189" t="str">
        <f t="shared" si="24"/>
        <v/>
      </c>
      <c r="AK85" s="257" t="str" cm="1">
        <f t="array" ref="AK85">IF(B85="","",_xll.BDP($B85,AK$9,"fill=b"))</f>
        <v>300MM</v>
      </c>
      <c r="AL85" s="257" t="str" cm="1">
        <f t="array" ref="AL85">IF(B85="","",_xll.BDP($B85,AL$9,"fill=b"))</f>
        <v>0</v>
      </c>
      <c r="AM85" s="256" cm="1">
        <f t="array" ref="AM85">IF(B85="","",_xll.BDP($B85,AM$9,"fill=b"))</f>
        <v>374</v>
      </c>
      <c r="AN85" s="150" t="str" cm="1">
        <f t="array" ref="AN85">IF(B85="","",_xll.BDP($B85,AN$9,"fill=b"))</f>
        <v>10/29/2013</v>
      </c>
      <c r="AO85" s="150" t="str" cm="1">
        <f t="array" ref="AO85">IF(B85="","",IF(LEFT(_xlfn.SINGLE(_xll.BDP($B85,AO$9,"fill=b")),1)="#","-",_xll.BDP($B85,AO$9,"fill=b")))</f>
        <v>JOINT LEADS</v>
      </c>
      <c r="AP85" s="150" t="str" cm="1">
        <f t="array" ref="AP85">IF(B85="","",_xll.BDP($B85,AP$9,"fill=b"))</f>
        <v>Communications</v>
      </c>
      <c r="AQ85" s="150" t="str" cm="1">
        <f t="array" ref="AQ85">IF(B85="","",_xll.BDP($B85,AQ$9,"fill=b"))</f>
        <v>Telecommunications</v>
      </c>
      <c r="AR85" s="150" t="str" cm="1">
        <f t="array" ref="AR85">IF(B85="","",_xll.BDP($B85,AR$9,"fill=b"))</f>
        <v/>
      </c>
      <c r="AS85" s="150" t="str" cm="1">
        <f t="array" ref="AS85">IF(B85="","",_xll.BDP($B85,AS$9,"fill=b"))</f>
        <v/>
      </c>
      <c r="AT85" s="150" t="str" cm="1">
        <f t="array" ref="AT85">IF(B85="","",_xll.BDP($B85,AT$9,"fill=b"))</f>
        <v>PIF</v>
      </c>
      <c r="AU85" s="258" t="str" cm="1">
        <f t="array" ref="AU85">IF(B85="","",_xll.BDP($B85,AU$9,"fill=b"))</f>
        <v>CPN = BZCLVLUE INDEX + 740 BPS.</v>
      </c>
    </row>
    <row r="86" spans="2:47" ht="15" x14ac:dyDescent="0.25">
      <c r="B86" s="232" t="s">
        <v>319</v>
      </c>
      <c r="C86" s="150" t="str" cm="1">
        <f t="array" ref="C86">IF(B86="","",_xll.BDP($B86,C$9,"fill=b"))</f>
        <v>GASP13</v>
      </c>
      <c r="D86" s="150" t="str" cm="1">
        <f t="array" ref="D86">IF(B86="","",_xll.BDP($B86,D$9,"fill=b"))</f>
        <v>CGASBZ Float 09/15/19</v>
      </c>
      <c r="E86" s="150" t="str" cm="1">
        <f t="array" ref="E86">IF(B86="","",_xll.BDP($B86,E$9,"fill=b"))</f>
        <v>CIA DE GAS DE SAO PAULO</v>
      </c>
      <c r="F86" s="150" t="str" cm="1">
        <f t="array" ref="F86">IF(B86="","",IF(LEFT(_xlfn.SINGLE(_xll.BDP($B86,F$9,"fill=b")),1)="#","-",_xll.BDP($B86,F$9,"fill=b")))</f>
        <v>CSAN3 BZ</v>
      </c>
      <c r="G86" s="150" t="str" cm="1">
        <f t="array" ref="G86">IF(B86="","",_xll.BDP($B86,G$9,"fill=b"))</f>
        <v>BRAZIL DI+SPREAD</v>
      </c>
      <c r="H86" s="150" t="str" cm="1">
        <f t="array" ref="H86">IF(B86="","",_xll.BDP($B86,H$9,"fill=b"))</f>
        <v>OVRA BZDI +90.000</v>
      </c>
      <c r="I86" s="150" t="str" cm="1">
        <f t="array" ref="I86">IF(LEFT(_xlfn.SINGLE(_xll.BDP(B86,"REFERENCE_INDEX")),1)="#",IF(LEFT(_xlfn.SINGLE(_xll.BDP(B86, "RESET_IDX"))&amp;" Index",1)="#","",_xlfn.SINGLE(_xll.BDP(B86, "RESET_IDX"))&amp;" Index"),_xll.BDP(B86,"REFERENCE_INDEX"))</f>
        <v>BZDIOVRA Index</v>
      </c>
      <c r="J86" s="150" cm="1">
        <f t="array" ref="J86">IF(I86="BZDIOVRA Index",IF(_xlfn.SINGLE(_xll.BDP(B86,"FLT_SPREAD"))/100=0,_xll.BDP(B86,"FLT_BENCH_MULTIPLIER"),_xlfn.SINGLE(_xll.BDP(B86,"FLT_SPREAD"))/100),"")</f>
        <v>0.9</v>
      </c>
      <c r="K86" s="150" t="str" cm="1">
        <f t="array" ref="K86">IF(B86="","",IF(LEFT(_xlfn.SINGLE(_xll.BDP($B86,K$9,"fill=b")),1)="#","-",_xll.BDP($B86,K$9,"fill=b")))</f>
        <v>-</v>
      </c>
      <c r="L86" s="233"/>
      <c r="M86" s="234" t="e">
        <f t="shared" si="25"/>
        <v>#VALUE!</v>
      </c>
      <c r="N86" s="252" t="e">
        <f>IF(B86="","",IF(R86="",IF(OR(AD86="SINKABLE",AD86="CALL/SINK"),_xll.BDP(B86,$N$9,$M$9,M86,"PRICING SOURCE",$C$6,"FILL=B"),_xll.BDP(B86,$N$9,$M$9,M86,"PRICING SOURCE",$C$6,"FILL=B")),IF(OR(AD86="SINKABLE",AD86="CALL/SINK"),_xll.BDP(B86,$N$9,$Q$10,S86,$M$9,M86,"PRICING SOURCE",$C$6,"FILL=B"),_xll.BDP(B86,$N$9,$Q$9,S86,$M$9,M86,"PRICING SOURCE",$C$6,"FILL=B"))))</f>
        <v>#VALUE!</v>
      </c>
      <c r="O86" s="235"/>
      <c r="P86" s="236" t="e">
        <f t="shared" si="26"/>
        <v>#VALUE!</v>
      </c>
      <c r="Q86" s="166" t="str">
        <f>IF(ISERROR((IF(OR(AD86="SINKABLE",AD86="CALL/SINK"),_xll.BDP($B86,$Q$10,"fill=b","PRICING_SOURCE",$C$6,$AC86,$N$9,$P86,$M$9,$M86),_xll.BDP($B86,Q$9,"fill=b","PRICING_SOURCE",$C$6,$AC86,$N$9,$P86,$M$9,$M86)))*1),"",IF(OR(AD86="SINKABLE",AD86="CALL/SINK"),_xll.BDP($B86,$Q$10,"fill=b","PRICING_SOURCE",$C$6,$AC86,$N$9,$P86,$M$9,$M86),_xll.BDP($B86,Q$9,"fill=b","PRICING_SOURCE",$C$6,$AC86,$N$9,$P86,$M$9,$M86)))</f>
        <v/>
      </c>
      <c r="R86" s="237"/>
      <c r="S86" s="238" t="str">
        <f t="shared" si="27"/>
        <v/>
      </c>
      <c r="T86" s="239" cm="1">
        <f t="array" ref="T86">IF(ISERROR((_xlfn.SINGLE(IF(OR(AD86="SINKABLE",AD86="CALL/SINK"),_xll.BDP($B86,$Q$10,"fill=b","PRICING_SOURCE",$C$6,$AC86,$M$9,$U86,"px ask",$AE86),_xll.BDP($B86,Q$9,"fill=b","PRICING_SOURCE",$C$6,$AC86,$M$9,$U86,"px ask",$AE86))))*1),"",IF(OR(AD86="SINKABLE",AD86="CALL/SINK"),_xll.BDP($B86,$Q$10,"fill=b","PRICING_SOURCE",$C$6,$AC86,$M$9,$U86,"px ask",$AE86),_xll.BDP($B86,Q$9,"fill=b","PRICING_SOURCE",$C$6,$AC86,$M$9,$U86,"px ask",$AE86)))</f>
        <v>39.625971995104493</v>
      </c>
      <c r="U86" s="240" t="str">
        <f t="shared" si="22"/>
        <v>20131008</v>
      </c>
      <c r="V86" s="254" t="e" cm="1">
        <f t="array" ref="V86">IF(B86="","",IF(I86="BZDIOVRA Index",IF(OR(AD86="SINKABLE",AD86="CALL/SINK"),_xll.BDP($B86,"PX_ASK",$Q$10,J86,$M$9,M86),_xll.BDP($B86,"PX_"&amp;$H$7,$Q$9,J86,$M$9,M86)),_xll.BDP($B86,"PX_"&amp;$H$7,$Q$9,_xll.BDP(B86,"CPN"),$M$9,M86)))</f>
        <v>#VALUE!</v>
      </c>
      <c r="W86" s="254" t="str">
        <f t="shared" si="23"/>
        <v/>
      </c>
      <c r="X86" s="166" t="e">
        <f>IF(B86="","",IF(OR(AD86="SINKABLE",AD86="CALL/SINK"),_xll.BDP($B86,X$9,"fill=b","PRICING_SOURCE",$C$6,$AC86,$M$9,$M86,$N$9,$P86,$Q$10,$S86),_xll.BDP($B86,X$9,"fill=b","PRICING_SOURCE",$C$6,$AC86,$M$9,$M86,$N$9,$P86,$Q$9,$S86)))</f>
        <v>#VALUE!</v>
      </c>
      <c r="Y86" s="166" t="e">
        <f>IF(B86="","",IF(OR(AD86="SINKABLE",AD86="CALL/SINK"),_xll.BDP($B86,Y$9,"fill=b","PRICING_SOURCE",$C$6,$AC86,$M$9,$M86,$N$9,$P86,$Q$10,$S86),_xll.BDP($B86,Y$9,"fill=b","PRICING_SOURCE",$C$6,$AC86,$M$9,$M86,$N$9,$P86,$Q$9,$S86)))</f>
        <v>#VALUE!</v>
      </c>
      <c r="Z86" s="255" t="e">
        <f>IF(B86="","",IF(OR(AD86="SINKABLE",AD86="CALL/SINK"),_xll.BDP($B86,Z$9,"fill=b","PRICING_SOURCE",$C$6,$AC86,$M$9,$M86,$N$9,$P86,$Q$10,$S86),_xll.BDP($B86,Z$9,"fill=b","PRICING_SOURCE",$C$6,$AC86,$M$9,$M86,$N$9,$P86,$Q$9,$S86)))</f>
        <v>#VALUE!</v>
      </c>
      <c r="AA86" s="166" t="e">
        <f>IF(B86="","",IF(OR(AD86="SINKABLE",AD86="CALL/SINK"),_xll.BDP($B86,AA$9,"fill=b","PRICING_SOURCE",$C$6,$AC86,$M$9,$M86,$N$9,$P86,$Q$10,$S86),_xll.BDP($B86,AA$9,"fill=b","PRICING_SOURCE",$C$6,$AC86,$M$9,$M86,$N$9,$P86,$Q$9,$S86)))</f>
        <v>#VALUE!</v>
      </c>
      <c r="AB86" s="150" t="str" cm="1">
        <f t="array" ref="AB86">IF(B86="","",IF(LEFT(_xlfn.SINGLE(_xll.BDP($B86,AB$9,"fill=b")),1)="#","-",_xll.BDP($B86,AB$9,"fill=b")))</f>
        <v>9/15/2019</v>
      </c>
      <c r="AC86" s="150" t="str">
        <f t="shared" si="28"/>
        <v>YLD FLAG=28</v>
      </c>
      <c r="AD86" s="150" t="str" cm="1">
        <f t="array" ref="AD86">IF(B86="","",_xll.BDP($B86,AD$9,"fill=b"))</f>
        <v>SINKABLE</v>
      </c>
      <c r="AE86" s="256" cm="1">
        <f t="array" ref="AE86">IF(B86="","",IF(ISERROR(_xlfn.SINGLE(_xll.BDH(B86,"PX LAST",AN86,AN86,"DAYS=ALL","PRICING SOURCE",$C$6))*1),_xll.BDP(B86,"PAR AMT"),_xll.BDH(B86,"PX LAST",AN86,AN86,"DAYS=ALL","PRICING SOURCE",$C$6)))</f>
        <v>333.40000000000003</v>
      </c>
      <c r="AF86" s="150" cm="1">
        <f t="array" ref="AF86">IF(B86="","",_xll.BDP($B86,AF$9,"fill=b"))</f>
        <v>3.6099061187799997</v>
      </c>
      <c r="AG86" s="150"/>
      <c r="AH86" s="190">
        <f>IF(B86="","",IF($AD86="AT MATURITY",$AB86*1,_xll.BADDPERIODS(_xll.BDP($B86,"issue dt"),"numberofperiods",TRUNC(_xll.BDP($B86,"YRS_TO_LONGEST_AVG_LIFE","YLD_YTM_BID",AF86,"SETTLE_DT",U86,AC86),0),"per=y")+(ROUND(MOD(_xll.BDP(B86,"YRS_TO_LONGEST_AVG_LIFE","YLD_YTM_BID",AF86,"SETTLE_DT",U86,AC86),1)*360,0))))</f>
        <v>43355</v>
      </c>
      <c r="AI86" s="150" t="e" cm="1">
        <f t="array" ref="AI86">IF(B86="","",AF86-_xll.BInterpol(_xll.BDP(_xll.BDS("YCGT0372 Index","curve members","CURVE_DATE", $U86,"endcol=1","array=true"),"maturity")*1,_xll.BDH(_xll.BDS("YCGT0372 Index","curve members","CURVE_DATE", $U86,"endcol=1","array=true"),"yld cnv mid",$U86,$U86,"days=all"),AH86,"CUBIC","Extrapolate=LINEAR","SKIP=TRUE","SORT=TRUE","MultiX=Average"))</f>
        <v>#VALUE!</v>
      </c>
      <c r="AJ86" s="189">
        <f t="shared" si="24"/>
        <v>0.9</v>
      </c>
      <c r="AK86" s="257" t="str" cm="1">
        <f t="array" ref="AK86">IF(B86="","",_xll.BDP($B86,AK$9,"fill=b"))</f>
        <v>128.197MM</v>
      </c>
      <c r="AL86" s="257" t="str" cm="1">
        <f t="array" ref="AL86">IF(B86="","",_xll.BDP($B86,AL$9,"fill=b"))</f>
        <v>0</v>
      </c>
      <c r="AM86" s="256" cm="1">
        <f t="array" ref="AM86">IF(B86="","",_xll.BDP($B86,AM$9,"fill=b"))</f>
        <v>333.40000000000003</v>
      </c>
      <c r="AN86" s="150" t="str" cm="1">
        <f t="array" ref="AN86">IF(B86="","",_xll.BDP($B86,AN$9,"fill=b"))</f>
        <v>10/8/2013</v>
      </c>
      <c r="AO86" s="150" t="str" cm="1">
        <f t="array" ref="AO86">IF(B86="","",IF(LEFT(_xlfn.SINGLE(_xll.BDP($B86,AO$9,"fill=b")),1)="#","-",_xll.BDP($B86,AO$9,"fill=b")))</f>
        <v>JOINT LEADS</v>
      </c>
      <c r="AP86" s="150" t="str" cm="1">
        <f t="array" ref="AP86">IF(B86="","",_xll.BDP($B86,AP$9,"fill=b"))</f>
        <v>Utilities</v>
      </c>
      <c r="AQ86" s="150" t="str" cm="1">
        <f t="array" ref="AQ86">IF(B86="","",_xll.BDP($B86,AQ$9,"fill=b"))</f>
        <v>Gas</v>
      </c>
      <c r="AR86" s="150" t="str" cm="1">
        <f t="array" ref="AR86">IF(B86="","",_xll.BDP($B86,AR$9,"fill=b"))</f>
        <v/>
      </c>
      <c r="AS86" s="150" t="str" cm="1">
        <f t="array" ref="AS86">IF(B86="","",_xll.BDP($B86,AS$9,"fill=b"))</f>
        <v>WR</v>
      </c>
      <c r="AT86" s="150" t="str" cm="1">
        <f t="array" ref="AT86">IF(B86="","",_xll.BDP($B86,AT$9,"fill=b"))</f>
        <v/>
      </c>
      <c r="AU86" s="258" t="str" cm="1">
        <f t="array" ref="AU86">IF(B86="","",_xll.BDP($B86,AU$9,"fill=b"))</f>
        <v>CPN = BZDIOVRA INDEX + 90 BPS.</v>
      </c>
    </row>
    <row r="87" spans="2:47" ht="15" x14ac:dyDescent="0.25">
      <c r="B87" s="232" t="s">
        <v>312</v>
      </c>
      <c r="C87" s="150" t="str" cm="1">
        <f t="array" ref="C87">IF(B87="","",_xll.BDP($B87,C$9,"fill=b"))</f>
        <v>DASA14</v>
      </c>
      <c r="D87" s="150" t="str" cm="1">
        <f t="array" ref="D87">IF(B87="","",_xll.BDP($B87,D$9,"fill=b"))</f>
        <v>DASABZ Float 10/15/18</v>
      </c>
      <c r="E87" s="150" t="str" cm="1">
        <f t="array" ref="E87">IF(B87="","",_xll.BDP($B87,E$9,"fill=b"))</f>
        <v>DIAGNOSTICOS AMERICA</v>
      </c>
      <c r="F87" s="150" t="str" cm="1">
        <f t="array" ref="F87">IF(B87="","",IF(LEFT(_xlfn.SINGLE(_xll.BDP($B87,F$9,"fill=b")),1)="#","-",_xll.BDP($B87,F$9,"fill=b")))</f>
        <v>-</v>
      </c>
      <c r="G87" s="150" t="str" cm="1">
        <f t="array" ref="G87">IF(B87="","",_xll.BDP($B87,G$9,"fill=b"))</f>
        <v>BRAZIL DI+SPREAD</v>
      </c>
      <c r="H87" s="150" t="str" cm="1">
        <f t="array" ref="H87">IF(B87="","",_xll.BDP($B87,H$9,"fill=b"))</f>
        <v>OVRA BZDI +115.000</v>
      </c>
      <c r="I87" s="150" t="str" cm="1">
        <f t="array" ref="I87">IF(LEFT(_xlfn.SINGLE(_xll.BDP(B87,"REFERENCE_INDEX")),1)="#",IF(LEFT(_xlfn.SINGLE(_xll.BDP(B87, "RESET_IDX"))&amp;" Index",1)="#","",_xlfn.SINGLE(_xll.BDP(B87, "RESET_IDX"))&amp;" Index"),_xll.BDP(B87,"REFERENCE_INDEX"))</f>
        <v>BZDIOVRA Index</v>
      </c>
      <c r="J87" s="150" cm="1">
        <f t="array" ref="J87">IF(I87="BZDIOVRA Index",IF(_xlfn.SINGLE(_xll.BDP(B87,"FLT_SPREAD"))/100=0,_xll.BDP(B87,"FLT_BENCH_MULTIPLIER"),_xlfn.SINGLE(_xll.BDP(B87,"FLT_SPREAD"))/100),"")</f>
        <v>1.1499999999999999</v>
      </c>
      <c r="K87" s="150" t="str" cm="1">
        <f t="array" ref="K87">IF(B87="","",IF(LEFT(_xlfn.SINGLE(_xll.BDP($B87,K$9,"fill=b")),1)="#","-",_xll.BDP($B87,K$9,"fill=b")))</f>
        <v>-</v>
      </c>
      <c r="L87" s="233"/>
      <c r="M87" s="234" t="e">
        <f t="shared" si="25"/>
        <v>#VALUE!</v>
      </c>
      <c r="N87" s="252" t="e">
        <f>IF(B87="","",IF(R87="",IF(OR(AD87="SINKABLE",AD87="CALL/SINK"),_xll.BDP(B87,$N$9,$M$9,M87,"PRICING SOURCE",$C$6,"FILL=B"),_xll.BDP(B87,$N$9,$M$9,M87,"PRICING SOURCE",$C$6,"FILL=B")),IF(OR(AD87="SINKABLE",AD87="CALL/SINK"),_xll.BDP(B87,$N$9,$Q$10,S87,$M$9,M87,"PRICING SOURCE",$C$6,"FILL=B"),_xll.BDP(B87,$N$9,$Q$9,S87,$M$9,M87,"PRICING SOURCE",$C$6,"FILL=B"))))</f>
        <v>#VALUE!</v>
      </c>
      <c r="O87" s="235"/>
      <c r="P87" s="236" t="e">
        <f t="shared" si="26"/>
        <v>#VALUE!</v>
      </c>
      <c r="Q87" s="166" t="str">
        <f>IF(ISERROR((IF(OR(AD87="SINKABLE",AD87="CALL/SINK"),_xll.BDP($B87,$Q$10,"fill=b","PRICING_SOURCE",$C$6,$AC87,$N$9,$P87,$M$9,$M87),_xll.BDP($B87,Q$9,"fill=b","PRICING_SOURCE",$C$6,$AC87,$N$9,$P87,$M$9,$M87)))*1),"",IF(OR(AD87="SINKABLE",AD87="CALL/SINK"),_xll.BDP($B87,$Q$10,"fill=b","PRICING_SOURCE",$C$6,$AC87,$N$9,$P87,$M$9,$M87),_xll.BDP($B87,Q$9,"fill=b","PRICING_SOURCE",$C$6,$AC87,$N$9,$P87,$M$9,$M87)))</f>
        <v/>
      </c>
      <c r="R87" s="237"/>
      <c r="S87" s="238" t="str">
        <f t="shared" si="27"/>
        <v/>
      </c>
      <c r="T87" s="239" cm="1">
        <f t="array" ref="T87">IF(ISERROR((_xlfn.SINGLE(IF(OR(AD87="SINKABLE",AD87="CALL/SINK"),_xll.BDP($B87,$Q$10,"fill=b","PRICING_SOURCE",$C$6,$AC87,$M$9,$U87,"px ask",$AE87),_xll.BDP($B87,Q$9,"fill=b","PRICING_SOURCE",$C$6,$AC87,$M$9,$U87,"px ask",$AE87))))*1),"",IF(OR(AD87="SINKABLE",AD87="CALL/SINK"),_xll.BDP($B87,$Q$10,"fill=b","PRICING_SOURCE",$C$6,$AC87,$M$9,$U87,"px ask",$AE87),_xll.BDP($B87,Q$9,"fill=b","PRICING_SOURCE",$C$6,$AC87,$M$9,$U87,"px ask",$AE87)))</f>
        <v>24.241855651363366</v>
      </c>
      <c r="U87" s="240" t="str">
        <f t="shared" si="22"/>
        <v>20131016</v>
      </c>
      <c r="V87" s="254" t="e" cm="1">
        <f t="array" ref="V87">IF(B87="","",IF(I87="BZDIOVRA Index",IF(OR(AD87="SINKABLE",AD87="CALL/SINK"),_xll.BDP($B87,"PX_ASK",$Q$10,J87,$M$9,M87),_xll.BDP($B87,"PX_"&amp;$H$7,$Q$9,J87,$M$9,M87)),_xll.BDP($B87,"PX_"&amp;$H$7,$Q$9,_xll.BDP(B87,"CPN"),$M$9,M87)))</f>
        <v>#VALUE!</v>
      </c>
      <c r="W87" s="254" t="str">
        <f t="shared" si="23"/>
        <v/>
      </c>
      <c r="X87" s="166" t="e">
        <f>IF(B87="","",IF(OR(AD87="SINKABLE",AD87="CALL/SINK"),_xll.BDP($B87,X$9,"fill=b","PRICING_SOURCE",$C$6,$AC87,$M$9,$M87,$N$9,$P87,$Q$10,$S87),_xll.BDP($B87,X$9,"fill=b","PRICING_SOURCE",$C$6,$AC87,$M$9,$M87,$N$9,$P87,$Q$9,$S87)))</f>
        <v>#VALUE!</v>
      </c>
      <c r="Y87" s="166" t="e">
        <f>IF(B87="","",IF(OR(AD87="SINKABLE",AD87="CALL/SINK"),_xll.BDP($B87,Y$9,"fill=b","PRICING_SOURCE",$C$6,$AC87,$M$9,$M87,$N$9,$P87,$Q$10,$S87),_xll.BDP($B87,Y$9,"fill=b","PRICING_SOURCE",$C$6,$AC87,$M$9,$M87,$N$9,$P87,$Q$9,$S87)))</f>
        <v>#VALUE!</v>
      </c>
      <c r="Z87" s="255" t="e">
        <f>IF(B87="","",IF(OR(AD87="SINKABLE",AD87="CALL/SINK"),_xll.BDP($B87,Z$9,"fill=b","PRICING_SOURCE",$C$6,$AC87,$M$9,$M87,$N$9,$P87,$Q$10,$S87),_xll.BDP($B87,Z$9,"fill=b","PRICING_SOURCE",$C$6,$AC87,$M$9,$M87,$N$9,$P87,$Q$9,$S87)))</f>
        <v>#VALUE!</v>
      </c>
      <c r="AA87" s="166" t="e">
        <f>IF(B87="","",IF(OR(AD87="SINKABLE",AD87="CALL/SINK"),_xll.BDP($B87,AA$9,"fill=b","PRICING_SOURCE",$C$6,$AC87,$M$9,$M87,$N$9,$P87,$Q$10,$S87),_xll.BDP($B87,AA$9,"fill=b","PRICING_SOURCE",$C$6,$AC87,$M$9,$M87,$N$9,$P87,$Q$9,$S87)))</f>
        <v>#VALUE!</v>
      </c>
      <c r="AB87" s="150" t="str" cm="1">
        <f t="array" ref="AB87">IF(B87="","",IF(LEFT(_xlfn.SINGLE(_xll.BDP($B87,AB$9,"fill=b")),1)="#","-",_xll.BDP($B87,AB$9,"fill=b")))</f>
        <v>10/15/2018</v>
      </c>
      <c r="AC87" s="150" t="str">
        <f t="shared" si="28"/>
        <v>YLD FLAG=28</v>
      </c>
      <c r="AD87" s="150" t="str" cm="1">
        <f t="array" ref="AD87">IF(B87="","",_xll.BDP($B87,AD$9,"fill=b"))</f>
        <v>CALL/SINK</v>
      </c>
      <c r="AE87" s="256" cm="1">
        <f t="array" ref="AE87">IF(B87="","",IF(ISERROR(_xlfn.SINGLE(_xll.BDH(B87,"PX LAST",AN87,AN87,"DAYS=ALL","PRICING SOURCE",$C$6))*1),_xll.BDP(B87,"PAR AMT"),_xll.BDH(B87,"PX LAST",AN87,AN87,"DAYS=ALL","PRICING SOURCE",$C$6)))</f>
        <v>5000</v>
      </c>
      <c r="AF87" s="150" cm="1">
        <f t="array" ref="AF87">IF(B87="","",_xll.BDP($B87,AF$9,"fill=b"))</f>
        <v>3.7372723999999997</v>
      </c>
      <c r="AG87" s="150"/>
      <c r="AH87" s="190">
        <f>IF(B87="","",IF($AD87="AT MATURITY",$AB87*1,_xll.BADDPERIODS(_xll.BDP($B87,"issue dt"),"numberofperiods",TRUNC(_xll.BDP($B87,"YRS_TO_LONGEST_AVG_LIFE","YLD_YTM_BID",AF87,"SETTLE_DT",U87,AC87),0),"per=y")+(ROUND(MOD(_xll.BDP(B87,"YRS_TO_LONGEST_AVG_LIFE","YLD_YTM_BID",AF87,"SETTLE_DT",U87,AC87),1)*360,0))))</f>
        <v>43204</v>
      </c>
      <c r="AI87" s="150" t="e" cm="1">
        <f t="array" ref="AI87">IF(B87="","",AF87-_xll.BInterpol(_xll.BDP(_xll.BDS("YCGT0372 Index","curve members","CURVE_DATE", $U87,"endcol=1","array=true"),"maturity")*1,_xll.BDH(_xll.BDS("YCGT0372 Index","curve members","CURVE_DATE", $U87,"endcol=1","array=true"),"yld cnv mid",$U87,$U87,"days=all"),AH87,"CUBIC","Extrapolate=LINEAR","SKIP=TRUE","SORT=TRUE","MultiX=Average"))</f>
        <v>#VALUE!</v>
      </c>
      <c r="AJ87" s="189">
        <f t="shared" si="24"/>
        <v>1.1499999999999999</v>
      </c>
      <c r="AK87" s="257" t="str" cm="1">
        <f t="array" ref="AK87">IF(B87="","",_xll.BDP($B87,AK$9,"fill=b"))</f>
        <v>450MM</v>
      </c>
      <c r="AL87" s="257" t="str" cm="1">
        <f t="array" ref="AL87">IF(B87="","",_xll.BDP($B87,AL$9,"fill=b"))</f>
        <v>0</v>
      </c>
      <c r="AM87" s="256" cm="1">
        <f t="array" ref="AM87">IF(B87="","",_xll.BDP($B87,AM$9,"fill=b"))</f>
        <v>5000</v>
      </c>
      <c r="AN87" s="150" t="str" cm="1">
        <f t="array" ref="AN87">IF(B87="","",_xll.BDP($B87,AN$9,"fill=b"))</f>
        <v>10/16/2013</v>
      </c>
      <c r="AO87" s="150" t="str" cm="1">
        <f t="array" ref="AO87">IF(B87="","",IF(LEFT(_xlfn.SINGLE(_xll.BDP($B87,AO$9,"fill=b")),1)="#","-",_xll.BDP($B87,AO$9,"fill=b")))</f>
        <v>JOINT LEADS</v>
      </c>
      <c r="AP87" s="150" t="str" cm="1">
        <f t="array" ref="AP87">IF(B87="","",_xll.BDP($B87,AP$9,"fill=b"))</f>
        <v>Consumer, Non-cyclical</v>
      </c>
      <c r="AQ87" s="150" t="str" cm="1">
        <f t="array" ref="AQ87">IF(B87="","",_xll.BDP($B87,AQ$9,"fill=b"))</f>
        <v>Healthcare-Services</v>
      </c>
      <c r="AR87" s="150" t="str" cm="1">
        <f t="array" ref="AR87">IF(B87="","",_xll.BDP($B87,AR$9,"fill=b"))</f>
        <v/>
      </c>
      <c r="AS87" s="150" t="str" cm="1">
        <f t="array" ref="AS87">IF(B87="","",_xll.BDP($B87,AS$9,"fill=b"))</f>
        <v/>
      </c>
      <c r="AT87" s="150" t="str" cm="1">
        <f t="array" ref="AT87">IF(B87="","",_xll.BDP($B87,AT$9,"fill=b"))</f>
        <v>NR</v>
      </c>
      <c r="AU87" s="258" t="str" cm="1">
        <f t="array" ref="AU87">IF(B87="","",_xll.BDP($B87,AU$9,"fill=b"))</f>
        <v>CPN = BZDIOVRA INDEX + 115 BPS. ISSUED UNDER ICVM 476/09.</v>
      </c>
    </row>
    <row r="88" spans="2:47" ht="15" x14ac:dyDescent="0.25">
      <c r="B88" s="232" t="s">
        <v>284</v>
      </c>
      <c r="C88" s="150" t="str" cm="1">
        <f t="array" ref="C88">IF(B88="","",_xll.BDP($B88,C$9,"fill=b"))</f>
        <v>GASP23</v>
      </c>
      <c r="D88" s="150" t="str" cm="1">
        <f t="array" ref="D88">IF(B88="","",_xll.BDP($B88,D$9,"fill=b"))</f>
        <v>CGASBZ 5.1 09/15/18</v>
      </c>
      <c r="E88" s="150" t="str" cm="1">
        <f t="array" ref="E88">IF(B88="","",_xll.BDP($B88,E$9,"fill=b"))</f>
        <v>COMPANHIA DE GAS DE SAO</v>
      </c>
      <c r="F88" s="150" t="str" cm="1">
        <f t="array" ref="F88">IF(B88="","",IF(LEFT(_xlfn.SINGLE(_xll.BDP($B88,F$9,"fill=b")),1)="#","-",_xll.BDP($B88,F$9,"fill=b")))</f>
        <v>CSAN3 BZ</v>
      </c>
      <c r="G88" s="150" t="str" cm="1">
        <f t="array" ref="G88">IF(B88="","",_xll.BDP($B88,G$9,"fill=b"))</f>
        <v>BRAZIL IPCA+SPREAD</v>
      </c>
      <c r="H88" s="150" t="str" cm="1">
        <f t="array" ref="H88">IF(B88="","",_xll.BDP($B88,H$9,"fill=b"))</f>
        <v/>
      </c>
      <c r="I88" s="150" t="str" cm="1">
        <f t="array" ref="I88">IF(LEFT(_xlfn.SINGLE(_xll.BDP(B88,"REFERENCE_INDEX")),1)="#",IF(LEFT(_xlfn.SINGLE(_xll.BDP(B88, "RESET_IDX"))&amp;" Index",1)="#","",_xlfn.SINGLE(_xll.BDP(B88, "RESET_IDX"))&amp;" Index"),_xll.BDP(B88,"REFERENCE_INDEX"))</f>
        <v>BZCLVLUE Index</v>
      </c>
      <c r="J88" s="150" t="str">
        <f>IF(I88="BZDIOVRA Index",IF(_xll.BDP(B88,"FLT_SPREAD")/100=0,_xll.BDP(B88,"FLT_BENCH_MULTIPLIER"),_xll.BDP(B88,"FLT_SPREAD")/100),"")</f>
        <v/>
      </c>
      <c r="K88" s="150" t="str" cm="1">
        <f t="array" ref="K88">IF(B88="","",IF(LEFT(_xlfn.SINGLE(_xll.BDP($B88,K$9,"fill=b")),1)="#","-",_xll.BDP($B88,K$9,"fill=b")))</f>
        <v>-</v>
      </c>
      <c r="L88" s="233"/>
      <c r="M88" s="234" t="e">
        <f t="shared" si="25"/>
        <v>#VALUE!</v>
      </c>
      <c r="N88" s="252" t="e">
        <f>IF(B88="","",IF(R88="",IF(OR(AD88="SINKABLE",AD88="CALL/SINK"),_xll.BDP(B88,$N$9,$M$9,M88,"PRICING SOURCE",$C$6,"FILL=B"),_xll.BDP(B88,$N$9,$M$9,M88,"PRICING SOURCE",$C$6,"FILL=B")),IF(OR(AD88="SINKABLE",AD88="CALL/SINK"),_xll.BDP(B88,$N$9,$Q$10,S88,$M$9,M88,"PRICING SOURCE",$C$6,"FILL=B"),_xll.BDP(B88,$N$9,$Q$9,S88,$M$9,M88,"PRICING SOURCE",$C$6,"FILL=B"))))</f>
        <v>#VALUE!</v>
      </c>
      <c r="O88" s="235"/>
      <c r="P88" s="236" t="e">
        <f t="shared" si="26"/>
        <v>#VALUE!</v>
      </c>
      <c r="Q88" s="166" t="str">
        <f>IF(ISERROR((IF(OR(AD88="SINKABLE",AD88="CALL/SINK"),_xll.BDP($B88,$Q$10,"fill=b","PRICING_SOURCE",$C$6,$AC88,$N$9,$P88,$M$9,$M88),_xll.BDP($B88,Q$9,"fill=b","PRICING_SOURCE",$C$6,$AC88,$N$9,$P88,$M$9,$M88)))*1),"",IF(OR(AD88="SINKABLE",AD88="CALL/SINK"),_xll.BDP($B88,$Q$10,"fill=b","PRICING_SOURCE",$C$6,$AC88,$N$9,$P88,$M$9,$M88),_xll.BDP($B88,Q$9,"fill=b","PRICING_SOURCE",$C$6,$AC88,$N$9,$P88,$M$9,$M88)))</f>
        <v/>
      </c>
      <c r="R88" s="237"/>
      <c r="S88" s="238" t="str">
        <f t="shared" si="27"/>
        <v/>
      </c>
      <c r="T88" s="239" cm="1">
        <f t="array" ref="T88">IF(ISERROR((_xlfn.SINGLE(IF(OR(AD88="SINKABLE",AD88="CALL/SINK"),_xll.BDP($B88,$Q$10,"fill=b","PRICING_SOURCE",$C$6,$AC88,$M$9,$U88,"px ask",$AE88),_xll.BDP($B88,Q$9,"fill=b","PRICING_SOURCE",$C$6,$AC88,$M$9,$U88,"px ask",$AE88))))*1),"",IF(OR(AD88="SINKABLE",AD88="CALL/SINK"),_xll.BDP($B88,$Q$10,"fill=b","PRICING_SOURCE",$C$6,$AC88,$M$9,$U88,"px ask",$AE88),_xll.BDP($B88,Q$9,"fill=b","PRICING_SOURCE",$C$6,$AC88,$M$9,$U88,"px ask",$AE88)))</f>
        <v>5.1470944752903174</v>
      </c>
      <c r="U88" s="240" t="str">
        <f t="shared" si="22"/>
        <v>20131009</v>
      </c>
      <c r="V88" s="254" t="e" cm="1">
        <f t="array" ref="V88">IF(B88="","",IF(I88="BZDIOVRA Index",IF(OR(AD88="SINKABLE",AD88="CALL/SINK"),_xll.BDP($B88,"PX_ASK",$Q$10,J88,$M$9,M88),_xll.BDP($B88,"PX_"&amp;$H$7,$Q$9,J88,$M$9,M88)),_xll.BDP($B88,"PX_"&amp;$H$7,$Q$9,_xll.BDP(B88,"CPN"),$M$9,M88)))</f>
        <v>#VALUE!</v>
      </c>
      <c r="W88" s="254" t="str">
        <f t="shared" si="23"/>
        <v/>
      </c>
      <c r="X88" s="166" t="e">
        <f>IF(B88="","",IF(OR(AD88="SINKABLE",AD88="CALL/SINK"),_xll.BDP($B88,X$9,"fill=b","PRICING_SOURCE",$C$6,$AC88,$M$9,$M88,$N$9,$P88,$Q$10,$S88),_xll.BDP($B88,X$9,"fill=b","PRICING_SOURCE",$C$6,$AC88,$M$9,$M88,$N$9,$P88,$Q$9,$S88)))</f>
        <v>#VALUE!</v>
      </c>
      <c r="Y88" s="166" t="e">
        <f>IF(B88="","",IF(OR(AD88="SINKABLE",AD88="CALL/SINK"),_xll.BDP($B88,Y$9,"fill=b","PRICING_SOURCE",$C$6,$AC88,$M$9,$M88,$N$9,$P88,$Q$10,$S88),_xll.BDP($B88,Y$9,"fill=b","PRICING_SOURCE",$C$6,$AC88,$M$9,$M88,$N$9,$P88,$Q$9,$S88)))</f>
        <v>#VALUE!</v>
      </c>
      <c r="Z88" s="255" t="e">
        <f>IF(B88="","",IF(OR(AD88="SINKABLE",AD88="CALL/SINK"),_xll.BDP($B88,Z$9,"fill=b","PRICING_SOURCE",$C$6,$AC88,$M$9,$M88,$N$9,$P88,$Q$10,$S88),_xll.BDP($B88,Z$9,"fill=b","PRICING_SOURCE",$C$6,$AC88,$M$9,$M88,$N$9,$P88,$Q$9,$S88)))</f>
        <v>#VALUE!</v>
      </c>
      <c r="AA88" s="166" t="e">
        <f>IF(B88="","",IF(OR(AD88="SINKABLE",AD88="CALL/SINK"),_xll.BDP($B88,AA$9,"fill=b","PRICING_SOURCE",$C$6,$AC88,$M$9,$M88,$N$9,$P88,$Q$10,$S88),_xll.BDP($B88,AA$9,"fill=b","PRICING_SOURCE",$C$6,$AC88,$M$9,$M88,$N$9,$P88,$Q$9,$S88)))</f>
        <v>#VALUE!</v>
      </c>
      <c r="AB88" s="150" t="str" cm="1">
        <f t="array" ref="AB88">IF(B88="","",IF(LEFT(_xlfn.SINGLE(_xll.BDP($B88,AB$9,"fill=b")),1)="#","-",_xll.BDP($B88,AB$9,"fill=b")))</f>
        <v>9/15/2018</v>
      </c>
      <c r="AC88" s="150" t="str">
        <f t="shared" si="28"/>
        <v>YLD FLAG=1</v>
      </c>
      <c r="AD88" s="150" t="str" cm="1">
        <f t="array" ref="AD88">IF(B88="","",_xll.BDP($B88,AD$9,"fill=b"))</f>
        <v>AT MATURITY</v>
      </c>
      <c r="AE88" s="256" cm="1">
        <f t="array" ref="AE88">IF(B88="","",IF(ISERROR(_xlfn.SINGLE(_xll.BDH(B88,"PX LAST",AN88,AN88,"DAYS=ALL","PRICING SOURCE",$C$6))*1),_xll.BDP(B88,"PAR AMT"),_xll.BDH(B88,"PX LAST",AN88,AN88,"DAYS=ALL","PRICING SOURCE",$C$6)))</f>
        <v>1000</v>
      </c>
      <c r="AF88" s="150" cm="1">
        <f t="array" ref="AF88">IF(B88="","",_xll.BDP($B88,AF$9,"fill=b"))</f>
        <v>5.0999999999999996</v>
      </c>
      <c r="AG88" s="150"/>
      <c r="AH88" s="190">
        <f>IF(B88="","",IF($AD88="AT MATURITY",$AB88*1,_xll.BADDPERIODS(_xll.BDP($B88,"issue dt"),"numberofperiods",TRUNC(_xll.BDP($B88,"YRS_TO_LONGEST_AVG_LIFE","YLD_YTM_BID",AF88,"SETTLE_DT",U88,AC88),0),"per=y")+(ROUND(MOD(_xll.BDP(B88,"YRS_TO_LONGEST_AVG_LIFE","YLD_YTM_BID",AF88,"SETTLE_DT",U88,AC88),1)*360,0))))</f>
        <v>43358</v>
      </c>
      <c r="AI88" s="150" t="e" cm="1">
        <f t="array" ref="AI88">IF(B88="","",AF88-_xll.BInterpol(_xll.BDP(_xll.BDS("YCGT0372 Index","curve members","CURVE_DATE", $U88,"endcol=1","array=true"),"maturity")*1,_xll.BDH(_xll.BDS("YCGT0372 Index","curve members","CURVE_DATE", $U88,"endcol=1","array=true"),"yld cnv mid",$U88,$U88,"days=all"),AH88,"CUBIC","Extrapolate=LINEAR","SKIP=TRUE","SORT=TRUE","MultiX=Average"))</f>
        <v>#VALUE!</v>
      </c>
      <c r="AJ88" s="189" t="str">
        <f t="shared" si="24"/>
        <v/>
      </c>
      <c r="AK88" s="257" t="str" cm="1">
        <f t="array" ref="AK88">IF(B88="","",_xll.BDP($B88,AK$9,"fill=b"))</f>
        <v>269.338MM</v>
      </c>
      <c r="AL88" s="257" t="str" cm="1">
        <f t="array" ref="AL88">IF(B88="","",_xll.BDP($B88,AL$9,"fill=b"))</f>
        <v>0</v>
      </c>
      <c r="AM88" s="256" cm="1">
        <f t="array" ref="AM88">IF(B88="","",_xll.BDP($B88,AM$9,"fill=b"))</f>
        <v>1000</v>
      </c>
      <c r="AN88" s="150" t="str" cm="1">
        <f t="array" ref="AN88">IF(B88="","",_xll.BDP($B88,AN$9,"fill=b"))</f>
        <v>10/9/2013</v>
      </c>
      <c r="AO88" s="150" t="str" cm="1">
        <f t="array" ref="AO88">IF(B88="","",IF(LEFT(_xlfn.SINGLE(_xll.BDP($B88,AO$9,"fill=b")),1)="#","-",_xll.BDP($B88,AO$9,"fill=b")))</f>
        <v>JOINT LEADS</v>
      </c>
      <c r="AP88" s="150" t="str" cm="1">
        <f t="array" ref="AP88">IF(B88="","",_xll.BDP($B88,AP$9,"fill=b"))</f>
        <v>Utilities</v>
      </c>
      <c r="AQ88" s="150" t="str" cm="1">
        <f t="array" ref="AQ88">IF(B88="","",_xll.BDP($B88,AQ$9,"fill=b"))</f>
        <v>Gas</v>
      </c>
      <c r="AR88" s="150" t="str" cm="1">
        <f t="array" ref="AR88">IF(B88="","",_xll.BDP($B88,AR$9,"fill=b"))</f>
        <v/>
      </c>
      <c r="AS88" s="150" t="str" cm="1">
        <f t="array" ref="AS88">IF(B88="","",_xll.BDP($B88,AS$9,"fill=b"))</f>
        <v>WR</v>
      </c>
      <c r="AT88" s="150" t="str" cm="1">
        <f t="array" ref="AT88">IF(B88="","",_xll.BDP($B88,AT$9,"fill=b"))</f>
        <v/>
      </c>
      <c r="AU88" s="258" t="str" cm="1">
        <f t="array" ref="AU88">IF(B88="","",_xll.BDP($B88,AU$9,"fill=b"))</f>
        <v>CPN = BZCLVLUE INDEX + 510 BPS. ISSUED UNDER LAW 12.431</v>
      </c>
    </row>
    <row r="89" spans="2:47" ht="15" x14ac:dyDescent="0.25">
      <c r="B89" s="232" t="s">
        <v>291</v>
      </c>
      <c r="C89" s="150" t="str" cm="1">
        <f t="array" ref="C89">IF(B89="","",_xll.BDP($B89,C$9,"fill=b"))</f>
        <v>GASP33</v>
      </c>
      <c r="D89" s="150" t="str" cm="1">
        <f t="array" ref="D89">IF(B89="","",_xll.BDP($B89,D$9,"fill=b"))</f>
        <v>CGASBZ 5.57 09/15/20</v>
      </c>
      <c r="E89" s="150" t="str" cm="1">
        <f t="array" ref="E89">IF(B89="","",_xll.BDP($B89,E$9,"fill=b"))</f>
        <v>CIA DE GAS DE SAO PAULO</v>
      </c>
      <c r="F89" s="150" t="str" cm="1">
        <f t="array" ref="F89">IF(B89="","",IF(LEFT(_xlfn.SINGLE(_xll.BDP($B89,F$9,"fill=b")),1)="#","-",_xll.BDP($B89,F$9,"fill=b")))</f>
        <v>CSAN3 BZ</v>
      </c>
      <c r="G89" s="150" t="str" cm="1">
        <f t="array" ref="G89">IF(B89="","",_xll.BDP($B89,G$9,"fill=b"))</f>
        <v>BRAZIL IPCA+SPREAD</v>
      </c>
      <c r="H89" s="150" t="str" cm="1">
        <f t="array" ref="H89">IF(B89="","",_xll.BDP($B89,H$9,"fill=b"))</f>
        <v/>
      </c>
      <c r="I89" s="150" t="str" cm="1">
        <f t="array" ref="I89">IF(LEFT(_xlfn.SINGLE(_xll.BDP(B89,"REFERENCE_INDEX")),1)="#",IF(LEFT(_xlfn.SINGLE(_xll.BDP(B89, "RESET_IDX"))&amp;" Index",1)="#","",_xlfn.SINGLE(_xll.BDP(B89, "RESET_IDX"))&amp;" Index"),_xll.BDP(B89,"REFERENCE_INDEX"))</f>
        <v>BZCLVLUE Index</v>
      </c>
      <c r="J89" s="150" t="str">
        <f>IF(I89="BZDIOVRA Index",IF(_xll.BDP(B89,"FLT_SPREAD")/100=0,_xll.BDP(B89,"FLT_BENCH_MULTIPLIER"),_xll.BDP(B89,"FLT_SPREAD")/100),"")</f>
        <v/>
      </c>
      <c r="K89" s="150" t="str" cm="1">
        <f t="array" ref="K89">IF(B89="","",IF(LEFT(_xlfn.SINGLE(_xll.BDP($B89,K$9,"fill=b")),1)="#","-",_xll.BDP($B89,K$9,"fill=b")))</f>
        <v>-</v>
      </c>
      <c r="L89" s="233"/>
      <c r="M89" s="234" t="e">
        <f t="shared" si="25"/>
        <v>#VALUE!</v>
      </c>
      <c r="N89" s="252" t="e">
        <f>IF(B89="","",IF(R89="",IF(OR(AD89="SINKABLE",AD89="CALL/SINK"),_xll.BDP(B89,$N$9,$M$9,M89,"PRICING SOURCE",$C$6,"FILL=B"),_xll.BDP(B89,$N$9,$M$9,M89,"PRICING SOURCE",$C$6,"FILL=B")),IF(OR(AD89="SINKABLE",AD89="CALL/SINK"),_xll.BDP(B89,$N$9,$Q$10,S89,$M$9,M89,"PRICING SOURCE",$C$6,"FILL=B"),_xll.BDP(B89,$N$9,$Q$9,S89,$M$9,M89,"PRICING SOURCE",$C$6,"FILL=B"))))</f>
        <v>#VALUE!</v>
      </c>
      <c r="O89" s="235"/>
      <c r="P89" s="236" t="e">
        <f t="shared" si="26"/>
        <v>#VALUE!</v>
      </c>
      <c r="Q89" s="166" t="str">
        <f>IF(ISERROR((IF(OR(AD89="SINKABLE",AD89="CALL/SINK"),_xll.BDP($B89,$Q$10,"fill=b","PRICING_SOURCE",$C$6,$AC89,$N$9,$P89,$M$9,$M89),_xll.BDP($B89,Q$9,"fill=b","PRICING_SOURCE",$C$6,$AC89,$N$9,$P89,$M$9,$M89)))*1),"",IF(OR(AD89="SINKABLE",AD89="CALL/SINK"),_xll.BDP($B89,$Q$10,"fill=b","PRICING_SOURCE",$C$6,$AC89,$N$9,$P89,$M$9,$M89),_xll.BDP($B89,Q$9,"fill=b","PRICING_SOURCE",$C$6,$AC89,$N$9,$P89,$M$9,$M89)))</f>
        <v/>
      </c>
      <c r="R89" s="237"/>
      <c r="S89" s="238" t="str">
        <f t="shared" si="27"/>
        <v/>
      </c>
      <c r="T89" s="239" cm="1">
        <f t="array" ref="T89">IF(ISERROR((_xlfn.SINGLE(IF(OR(AD89="SINKABLE",AD89="CALL/SINK"),_xll.BDP($B89,$Q$10,"fill=b","PRICING_SOURCE",$C$6,$AC89,$M$9,$U89,"px ask",$AE89),_xll.BDP($B89,Q$9,"fill=b","PRICING_SOURCE",$C$6,$AC89,$M$9,$U89,"px ask",$AE89))))*1),"",IF(OR(AD89="SINKABLE",AD89="CALL/SINK"),_xll.BDP($B89,$Q$10,"fill=b","PRICING_SOURCE",$C$6,$AC89,$M$9,$U89,"px ask",$AE89),_xll.BDP($B89,Q$9,"fill=b","PRICING_SOURCE",$C$6,$AC89,$M$9,$U89,"px ask",$AE89)))</f>
        <v>75.885877415819223</v>
      </c>
      <c r="U89" s="240" t="str">
        <f t="shared" si="22"/>
        <v>20131010</v>
      </c>
      <c r="V89" s="254" t="e" cm="1">
        <f t="array" ref="V89">IF(B89="","",IF(I89="BZDIOVRA Index",IF(OR(AD89="SINKABLE",AD89="CALL/SINK"),_xll.BDP($B89,"PX_ASK",$Q$10,J89,$M$9,M89),_xll.BDP($B89,"PX_"&amp;$H$7,$Q$9,J89,$M$9,M89)),_xll.BDP($B89,"PX_"&amp;$H$7,$Q$9,_xll.BDP(B89,"CPN"),$M$9,M89)))</f>
        <v>#VALUE!</v>
      </c>
      <c r="W89" s="254" t="str">
        <f t="shared" si="23"/>
        <v/>
      </c>
      <c r="X89" s="166" t="e">
        <f>IF(B89="","",IF(OR(AD89="SINKABLE",AD89="CALL/SINK"),_xll.BDP($B89,X$9,"fill=b","PRICING_SOURCE",$C$6,$AC89,$M$9,$M89,$N$9,$P89,$Q$10,$S89),_xll.BDP($B89,X$9,"fill=b","PRICING_SOURCE",$C$6,$AC89,$M$9,$M89,$N$9,$P89,$Q$9,$S89)))</f>
        <v>#VALUE!</v>
      </c>
      <c r="Y89" s="166" t="e">
        <f>IF(B89="","",IF(OR(AD89="SINKABLE",AD89="CALL/SINK"),_xll.BDP($B89,Y$9,"fill=b","PRICING_SOURCE",$C$6,$AC89,$M$9,$M89,$N$9,$P89,$Q$10,$S89),_xll.BDP($B89,Y$9,"fill=b","PRICING_SOURCE",$C$6,$AC89,$M$9,$M89,$N$9,$P89,$Q$9,$S89)))</f>
        <v>#VALUE!</v>
      </c>
      <c r="Z89" s="255" t="e">
        <f>IF(B89="","",IF(OR(AD89="SINKABLE",AD89="CALL/SINK"),_xll.BDP($B89,Z$9,"fill=b","PRICING_SOURCE",$C$6,$AC89,$M$9,$M89,$N$9,$P89,$Q$10,$S89),_xll.BDP($B89,Z$9,"fill=b","PRICING_SOURCE",$C$6,$AC89,$M$9,$M89,$N$9,$P89,$Q$9,$S89)))</f>
        <v>#VALUE!</v>
      </c>
      <c r="AA89" s="166" t="e">
        <f>IF(B89="","",IF(OR(AD89="SINKABLE",AD89="CALL/SINK"),_xll.BDP($B89,AA$9,"fill=b","PRICING_SOURCE",$C$6,$AC89,$M$9,$M89,$N$9,$P89,$Q$10,$S89),_xll.BDP($B89,AA$9,"fill=b","PRICING_SOURCE",$C$6,$AC89,$M$9,$M89,$N$9,$P89,$Q$9,$S89)))</f>
        <v>#VALUE!</v>
      </c>
      <c r="AB89" s="150" t="str" cm="1">
        <f t="array" ref="AB89">IF(B89="","",IF(LEFT(_xlfn.SINGLE(_xll.BDP($B89,AB$9,"fill=b")),1)="#","-",_xll.BDP($B89,AB$9,"fill=b")))</f>
        <v>9/15/2020</v>
      </c>
      <c r="AC89" s="150" t="str">
        <f t="shared" si="28"/>
        <v>YLD FLAG=28</v>
      </c>
      <c r="AD89" s="150" t="str" cm="1">
        <f t="array" ref="AD89">IF(B89="","",_xll.BDP($B89,AD$9,"fill=b"))</f>
        <v>SINKABLE</v>
      </c>
      <c r="AE89" s="256" cm="1">
        <f t="array" ref="AE89">IF(B89="","",IF(ISERROR(_xlfn.SINGLE(_xll.BDH(B89,"PX LAST",AN89,AN89,"DAYS=ALL","PRICING SOURCE",$C$6))*1),_xll.BDP(B89,"PAR AMT"),_xll.BDH(B89,"PX LAST",AN89,AN89,"DAYS=ALL","PRICING SOURCE",$C$6)))</f>
        <v>500</v>
      </c>
      <c r="AF89" s="150" cm="1">
        <f t="array" ref="AF89">IF(B89="","",_xll.BDP($B89,AF$9,"fill=b"))</f>
        <v>5.57</v>
      </c>
      <c r="AG89" s="150"/>
      <c r="AH89" s="190">
        <f>IF(B89="","",IF($AD89="AT MATURITY",$AB89*1,_xll.BADDPERIODS(_xll.BDP($B89,"issue dt"),"numberofperiods",TRUNC(_xll.BDP($B89,"YRS_TO_LONGEST_AVG_LIFE","YLD_YTM_BID",AF89,"SETTLE_DT",U89,AC89),0),"per=y")+(ROUND(MOD(_xll.BDP(B89,"YRS_TO_LONGEST_AVG_LIFE","YLD_YTM_BID",AF89,"SETTLE_DT",U89,AC89),1)*360,0))))</f>
        <v>65067</v>
      </c>
      <c r="AI89" s="150" t="e" cm="1">
        <f t="array" ref="AI89">IF(B89="","",AF89-_xll.BInterpol(_xll.BDP(_xll.BDS("YCGT0372 Index","curve members","CURVE_DATE", $U89,"endcol=1","array=true"),"maturity")*1,_xll.BDH(_xll.BDS("YCGT0372 Index","curve members","CURVE_DATE", $U89,"endcol=1","array=true"),"yld cnv mid",$U89,$U89,"days=all"),AH89,"CUBIC","Extrapolate=LINEAR","SKIP=TRUE","SORT=TRUE","MultiX=Average"))</f>
        <v>#VALUE!</v>
      </c>
      <c r="AJ89" s="189" t="str">
        <f t="shared" si="24"/>
        <v/>
      </c>
      <c r="AK89" s="257" t="str" cm="1">
        <f t="array" ref="AK89">IF(B89="","",_xll.BDP($B89,AK$9,"fill=b"))</f>
        <v>142.465MM</v>
      </c>
      <c r="AL89" s="257" t="str" cm="1">
        <f t="array" ref="AL89">IF(B89="","",_xll.BDP($B89,AL$9,"fill=b"))</f>
        <v>0</v>
      </c>
      <c r="AM89" s="256" cm="1">
        <f t="array" ref="AM89">IF(B89="","",_xll.BDP($B89,AM$9,"fill=b"))</f>
        <v>500</v>
      </c>
      <c r="AN89" s="150" t="str" cm="1">
        <f t="array" ref="AN89">IF(B89="","",_xll.BDP($B89,AN$9,"fill=b"))</f>
        <v>10/10/2013</v>
      </c>
      <c r="AO89" s="150" t="str" cm="1">
        <f t="array" ref="AO89">IF(B89="","",IF(LEFT(_xlfn.SINGLE(_xll.BDP($B89,AO$9,"fill=b")),1)="#","-",_xll.BDP($B89,AO$9,"fill=b")))</f>
        <v>JOINT LEADS</v>
      </c>
      <c r="AP89" s="150" t="str" cm="1">
        <f t="array" ref="AP89">IF(B89="","",_xll.BDP($B89,AP$9,"fill=b"))</f>
        <v>Utilities</v>
      </c>
      <c r="AQ89" s="150" t="str" cm="1">
        <f t="array" ref="AQ89">IF(B89="","",_xll.BDP($B89,AQ$9,"fill=b"))</f>
        <v>Gas</v>
      </c>
      <c r="AR89" s="150" t="str" cm="1">
        <f t="array" ref="AR89">IF(B89="","",_xll.BDP($B89,AR$9,"fill=b"))</f>
        <v/>
      </c>
      <c r="AS89" s="150" t="str" cm="1">
        <f t="array" ref="AS89">IF(B89="","",_xll.BDP($B89,AS$9,"fill=b"))</f>
        <v>WR</v>
      </c>
      <c r="AT89" s="150" t="str" cm="1">
        <f t="array" ref="AT89">IF(B89="","",_xll.BDP($B89,AT$9,"fill=b"))</f>
        <v>NR</v>
      </c>
      <c r="AU89" s="258" t="str" cm="1">
        <f t="array" ref="AU89">IF(B89="","",_xll.BDP($B89,AU$9,"fill=b"))</f>
        <v>CPN = BZCLVLUE INDEX + 557 BPS. ISSUED UNDER LAW 12.431</v>
      </c>
    </row>
    <row r="90" spans="2:47" ht="15" x14ac:dyDescent="0.25">
      <c r="B90" s="232" t="s">
        <v>345</v>
      </c>
      <c r="C90" s="150" t="str" cm="1">
        <f t="array" ref="C90">IF(B90="","",_xll.BDP($B90,C$9,"fill=b"))</f>
        <v>SAPR13</v>
      </c>
      <c r="D90" s="150" t="str" cm="1">
        <f t="array" ref="D90">IF(B90="","",_xll.BDP($B90,D$9,"fill=b"))</f>
        <v>SAPRBZ Float 11/15/18</v>
      </c>
      <c r="E90" s="150" t="str" cm="1">
        <f t="array" ref="E90">IF(B90="","",_xll.BDP($B90,E$9,"fill=b"))</f>
        <v>CIA DE SANEAMENTO DO PAR</v>
      </c>
      <c r="F90" s="150" t="str" cm="1">
        <f t="array" ref="F90">IF(B90="","",IF(LEFT(_xlfn.SINGLE(_xll.BDP($B90,F$9,"fill=b")),1)="#","-",_xll.BDP($B90,F$9,"fill=b")))</f>
        <v>SAPR4 BZ</v>
      </c>
      <c r="G90" s="150" t="str" cm="1">
        <f t="array" ref="G90">IF(B90="","",_xll.BDP($B90,G$9,"fill=b"))</f>
        <v>BRAZIL PERCENT DI</v>
      </c>
      <c r="H90" s="150" t="str" cm="1">
        <f t="array" ref="H90">IF(B90="","",_xll.BDP($B90,H$9,"fill=b"))</f>
        <v>OVRA BZDI *110.80000</v>
      </c>
      <c r="I90" s="150" t="str" cm="1">
        <f t="array" ref="I90">IF(LEFT(_xlfn.SINGLE(_xll.BDP(B90,"REFERENCE_INDEX")),1)="#",IF(LEFT(_xlfn.SINGLE(_xll.BDP(B90, "RESET_IDX"))&amp;" Index",1)="#","",_xlfn.SINGLE(_xll.BDP(B90, "RESET_IDX"))&amp;" Index"),_xll.BDP(B90,"REFERENCE_INDEX"))</f>
        <v>BZDIOVRA Index</v>
      </c>
      <c r="J90" s="150" cm="1">
        <f t="array" ref="J90">IF(I90="BZDIOVRA Index",IF(_xlfn.SINGLE(_xll.BDP(B90,"FLT_SPREAD"))/100=0,_xll.BDP(B90,"FLT_BENCH_MULTIPLIER"),_xlfn.SINGLE(_xll.BDP(B90,"FLT_SPREAD"))/100),"")</f>
        <v>110.80000305175781</v>
      </c>
      <c r="K90" s="150" t="str" cm="1">
        <f t="array" ref="K90">IF(B90="","",IF(LEFT(_xlfn.SINGLE(_xll.BDP($B90,K$9,"fill=b")),1)="#","-",_xll.BDP($B90,K$9,"fill=b")))</f>
        <v>-</v>
      </c>
      <c r="L90" s="233"/>
      <c r="M90" s="234" t="e">
        <f t="shared" si="25"/>
        <v>#VALUE!</v>
      </c>
      <c r="N90" s="252" t="e">
        <f>IF(B90="","",IF(R90="",IF(OR(AD90="SINKABLE",AD90="CALL/SINK"),_xll.BDP(B90,$N$9,$M$9,M90,"PRICING SOURCE",$C$6,"FILL=B"),_xll.BDP(B90,$N$9,$M$9,M90,"PRICING SOURCE",$C$6,"FILL=B")),IF(OR(AD90="SINKABLE",AD90="CALL/SINK"),_xll.BDP(B90,$N$9,$Q$10,S90,$M$9,M90,"PRICING SOURCE",$C$6,"FILL=B"),_xll.BDP(B90,$N$9,$Q$9,S90,$M$9,M90,"PRICING SOURCE",$C$6,"FILL=B"))))</f>
        <v>#VALUE!</v>
      </c>
      <c r="O90" s="235"/>
      <c r="P90" s="236" t="e">
        <f t="shared" si="26"/>
        <v>#VALUE!</v>
      </c>
      <c r="Q90" s="166" t="str">
        <f>IF(ISERROR((IF(OR(AD90="SINKABLE",AD90="CALL/SINK"),_xll.BDP($B90,$Q$10,"fill=b","PRICING_SOURCE",$C$6,$AC90,$N$9,$P90,$M$9,$M90),_xll.BDP($B90,Q$9,"fill=b","PRICING_SOURCE",$C$6,$AC90,$N$9,$P90,$M$9,$M90)))*1),"",IF(OR(AD90="SINKABLE",AD90="CALL/SINK"),_xll.BDP($B90,$Q$10,"fill=b","PRICING_SOURCE",$C$6,$AC90,$N$9,$P90,$M$9,$M90),_xll.BDP($B90,Q$9,"fill=b","PRICING_SOURCE",$C$6,$AC90,$N$9,$P90,$M$9,$M90)))</f>
        <v/>
      </c>
      <c r="R90" s="237"/>
      <c r="S90" s="238" t="str">
        <f t="shared" si="27"/>
        <v/>
      </c>
      <c r="T90" s="239" t="str" cm="1">
        <f t="array" ref="T90">IF(ISERROR((_xlfn.SINGLE(IF(OR(AD90="SINKABLE",AD90="CALL/SINK"),_xll.BDP($B90,$Q$10,"fill=b","PRICING_SOURCE",$C$6,$AC90,$M$9,$U90,"px ask",$AE90),_xll.BDP($B90,Q$9,"fill=b","PRICING_SOURCE",$C$6,$AC90,$M$9,$U90,"px ask",$AE90))))*1),"",IF(OR(AD90="SINKABLE",AD90="CALL/SINK"),_xll.BDP($B90,$Q$10,"fill=b","PRICING_SOURCE",$C$6,$AC90,$M$9,$U90,"px ask",$AE90),_xll.BDP($B90,Q$9,"fill=b","PRICING_SOURCE",$C$6,$AC90,$M$9,$U90,"px ask",$AE90)))</f>
        <v/>
      </c>
      <c r="U90" s="240" t="str">
        <f t="shared" si="22"/>
        <v>20131127</v>
      </c>
      <c r="V90" s="254" t="e" cm="1">
        <f t="array" ref="V90">IF(B90="","",IF(I90="BZDIOVRA Index",IF(OR(AD90="SINKABLE",AD90="CALL/SINK"),_xll.BDP($B90,"PX_ASK",$Q$10,J90,$M$9,M90),_xll.BDP($B90,"PX_"&amp;$H$7,$Q$9,J90,$M$9,M90)),_xll.BDP($B90,"PX_"&amp;$H$7,$Q$9,_xll.BDP(B90,"CPN"),$M$9,M90)))</f>
        <v>#VALUE!</v>
      </c>
      <c r="W90" s="254" t="str">
        <f t="shared" si="23"/>
        <v/>
      </c>
      <c r="X90" s="166" t="e">
        <f>IF(B90="","",IF(OR(AD90="SINKABLE",AD90="CALL/SINK"),_xll.BDP($B90,X$9,"fill=b","PRICING_SOURCE",$C$6,$AC90,$M$9,$M90,$N$9,$P90,$Q$10,$S90),_xll.BDP($B90,X$9,"fill=b","PRICING_SOURCE",$C$6,$AC90,$M$9,$M90,$N$9,$P90,$Q$9,$S90)))</f>
        <v>#VALUE!</v>
      </c>
      <c r="Y90" s="166" t="e">
        <f>IF(B90="","",IF(OR(AD90="SINKABLE",AD90="CALL/SINK"),_xll.BDP($B90,Y$9,"fill=b","PRICING_SOURCE",$C$6,$AC90,$M$9,$M90,$N$9,$P90,$Q$10,$S90),_xll.BDP($B90,Y$9,"fill=b","PRICING_SOURCE",$C$6,$AC90,$M$9,$M90,$N$9,$P90,$Q$9,$S90)))</f>
        <v>#VALUE!</v>
      </c>
      <c r="Z90" s="255" t="e">
        <f>IF(B90="","",IF(OR(AD90="SINKABLE",AD90="CALL/SINK"),_xll.BDP($B90,Z$9,"fill=b","PRICING_SOURCE",$C$6,$AC90,$M$9,$M90,$N$9,$P90,$Q$10,$S90),_xll.BDP($B90,Z$9,"fill=b","PRICING_SOURCE",$C$6,$AC90,$M$9,$M90,$N$9,$P90,$Q$9,$S90)))</f>
        <v>#VALUE!</v>
      </c>
      <c r="AA90" s="166" t="e">
        <f>IF(B90="","",IF(OR(AD90="SINKABLE",AD90="CALL/SINK"),_xll.BDP($B90,AA$9,"fill=b","PRICING_SOURCE",$C$6,$AC90,$M$9,$M90,$N$9,$P90,$Q$10,$S90),_xll.BDP($B90,AA$9,"fill=b","PRICING_SOURCE",$C$6,$AC90,$M$9,$M90,$N$9,$P90,$Q$9,$S90)))</f>
        <v>#VALUE!</v>
      </c>
      <c r="AB90" s="150" t="str" cm="1">
        <f t="array" ref="AB90">IF(B90="","",IF(LEFT(_xlfn.SINGLE(_xll.BDP($B90,AB$9,"fill=b")),1)="#","-",_xll.BDP($B90,AB$9,"fill=b")))</f>
        <v>11/15/2018</v>
      </c>
      <c r="AC90" s="150" t="str">
        <f t="shared" si="28"/>
        <v>YLD FLAG=28</v>
      </c>
      <c r="AD90" s="150" t="str" cm="1">
        <f t="array" ref="AD90">IF(B90="","",_xll.BDP($B90,AD$9,"fill=b"))</f>
        <v>SINKABLE</v>
      </c>
      <c r="AE90" s="256" cm="1">
        <f t="array" ref="AE90">IF(B90="","",IF(ISERROR(_xlfn.SINGLE(_xll.BDH(B90,"PX LAST",AN90,AN90,"DAYS=ALL","PRICING SOURCE",$C$6))*1),_xll.BDP(B90,"PAR AMT"),_xll.BDH(B90,"PX LAST",AN90,AN90,"DAYS=ALL","PRICING SOURCE",$C$6)))</f>
        <v>3340</v>
      </c>
      <c r="AF90" s="150" cm="1">
        <f t="array" ref="AF90">IF(B90="","",_xll.BDP($B90,AF$9,"fill=b"))</f>
        <v>3.5487729940099997</v>
      </c>
      <c r="AG90" s="150"/>
      <c r="AH90" s="190">
        <f>IF(B90="","",IF($AD90="AT MATURITY",$AB90*1,_xll.BADDPERIODS(_xll.BDP($B90,"issue dt"),"numberofperiods",TRUNC(_xll.BDP($B90,"YRS_TO_LONGEST_AVG_LIFE","YLD_YTM_BID",AF90,"SETTLE_DT",U90,AC90),0),"per=y")+(ROUND(MOD(_xll.BDP(B90,"YRS_TO_LONGEST_AVG_LIFE","YLD_YTM_BID",AF90,"SETTLE_DT",U90,AC90),1)*360,0))))</f>
        <v>43052</v>
      </c>
      <c r="AI90" s="150" t="e" cm="1">
        <f t="array" ref="AI90">IF(B90="","",AF90-_xll.BInterpol(_xll.BDP(_xll.BDS("YCGT0372 Index","curve members","CURVE_DATE", $U90,"endcol=1","array=true"),"maturity")*1,_xll.BDH(_xll.BDS("YCGT0372 Index","curve members","CURVE_DATE", $U90,"endcol=1","array=true"),"yld cnv mid",$U90,$U90,"days=all"),AH90,"CUBIC","Extrapolate=LINEAR","SKIP=TRUE","SORT=TRUE","MultiX=Average"))</f>
        <v>#VALUE!</v>
      </c>
      <c r="AJ90" s="189">
        <f t="shared" si="24"/>
        <v>110.80000305175781</v>
      </c>
      <c r="AK90" s="257" t="str" cm="1">
        <f t="array" ref="AK90">IF(B90="","",_xll.BDP($B90,AK$9,"fill=b"))</f>
        <v>199.67MM</v>
      </c>
      <c r="AL90" s="257" t="str" cm="1">
        <f t="array" ref="AL90">IF(B90="","",_xll.BDP($B90,AL$9,"fill=b"))</f>
        <v>0</v>
      </c>
      <c r="AM90" s="256" cm="1">
        <f t="array" ref="AM90">IF(B90="","",_xll.BDP($B90,AM$9,"fill=b"))</f>
        <v>3340</v>
      </c>
      <c r="AN90" s="150" t="str" cm="1">
        <f t="array" ref="AN90">IF(B90="","",_xll.BDP($B90,AN$9,"fill=b"))</f>
        <v>11/27/2013</v>
      </c>
      <c r="AO90" s="150" t="str" cm="1">
        <f t="array" ref="AO90">IF(B90="","",IF(LEFT(_xlfn.SINGLE(_xll.BDP($B90,AO$9,"fill=b")),1)="#","-",_xll.BDP($B90,AO$9,"fill=b")))</f>
        <v>BBBBI</v>
      </c>
      <c r="AP90" s="150" t="str" cm="1">
        <f t="array" ref="AP90">IF(B90="","",_xll.BDP($B90,AP$9,"fill=b"))</f>
        <v>Utilities</v>
      </c>
      <c r="AQ90" s="150" t="str" cm="1">
        <f t="array" ref="AQ90">IF(B90="","",_xll.BDP($B90,AQ$9,"fill=b"))</f>
        <v>Water</v>
      </c>
      <c r="AR90" s="150" t="str" cm="1">
        <f t="array" ref="AR90">IF(B90="","",_xll.BDP($B90,AR$9,"fill=b"))</f>
        <v/>
      </c>
      <c r="AS90" s="150" t="str" cm="1">
        <f t="array" ref="AS90">IF(B90="","",_xll.BDP($B90,AS$9,"fill=b"))</f>
        <v>WR</v>
      </c>
      <c r="AT90" s="150" t="str" cm="1">
        <f t="array" ref="AT90">IF(B90="","",_xll.BDP($B90,AT$9,"fill=b"))</f>
        <v/>
      </c>
      <c r="AU90" s="258" t="str" cm="1">
        <f t="array" ref="AU90">IF(B90="","",_xll.BDP($B90,AU$9,"fill=b"))</f>
        <v>CPN = BZDIOVRA INDEX * 110.80%. ISSUED UNDER ICVM 476/09.</v>
      </c>
    </row>
    <row r="91" spans="2:47" ht="15" x14ac:dyDescent="0.25">
      <c r="B91" s="232" t="s">
        <v>345</v>
      </c>
      <c r="C91" s="150" t="str" cm="1">
        <f t="array" ref="C91">IF(B91="","",_xll.BDP($B91,C$9,"fill=b"))</f>
        <v>SAPR13</v>
      </c>
      <c r="D91" s="150" t="str" cm="1">
        <f t="array" ref="D91">IF(B91="","",_xll.BDP($B91,D$9,"fill=b"))</f>
        <v>SAPRBZ Float 11/15/18</v>
      </c>
      <c r="E91" s="150" t="str" cm="1">
        <f t="array" ref="E91">IF(B91="","",_xll.BDP($B91,E$9,"fill=b"))</f>
        <v>CIA DE SANEAMENTO DO PAR</v>
      </c>
      <c r="F91" s="150" t="str" cm="1">
        <f t="array" ref="F91">IF(B91="","",IF(LEFT(_xlfn.SINGLE(_xll.BDP($B91,F$9,"fill=b")),1)="#","-",_xll.BDP($B91,F$9,"fill=b")))</f>
        <v>SAPR4 BZ</v>
      </c>
      <c r="G91" s="150" t="str" cm="1">
        <f t="array" ref="G91">IF(B91="","",_xll.BDP($B91,G$9,"fill=b"))</f>
        <v>BRAZIL PERCENT DI</v>
      </c>
      <c r="H91" s="150" t="str" cm="1">
        <f t="array" ref="H91">IF(B91="","",_xll.BDP($B91,H$9,"fill=b"))</f>
        <v>OVRA BZDI *110.80000</v>
      </c>
      <c r="I91" s="150" t="str" cm="1">
        <f t="array" ref="I91">IF(LEFT(_xlfn.SINGLE(_xll.BDP(B91,"REFERENCE_INDEX")),1)="#",IF(LEFT(_xlfn.SINGLE(_xll.BDP(B91, "RESET_IDX"))&amp;" Index",1)="#","",_xlfn.SINGLE(_xll.BDP(B91, "RESET_IDX"))&amp;" Index"),_xll.BDP(B91,"REFERENCE_INDEX"))</f>
        <v>BZDIOVRA Index</v>
      </c>
      <c r="J91" s="150" cm="1">
        <f t="array" ref="J91">IF(I91="BZDIOVRA Index",IF(_xlfn.SINGLE(_xll.BDP(B91,"FLT_SPREAD"))/100=0,_xll.BDP(B91,"FLT_BENCH_MULTIPLIER"),_xlfn.SINGLE(_xll.BDP(B91,"FLT_SPREAD"))/100),"")</f>
        <v>110.80000305175781</v>
      </c>
      <c r="K91" s="150" t="str" cm="1">
        <f t="array" ref="K91">IF(B91="","",IF(LEFT(_xlfn.SINGLE(_xll.BDP($B91,K$9,"fill=b")),1)="#","-",_xll.BDP($B91,K$9,"fill=b")))</f>
        <v>-</v>
      </c>
      <c r="L91" s="233"/>
      <c r="M91" s="234" t="e">
        <f t="shared" si="25"/>
        <v>#VALUE!</v>
      </c>
      <c r="N91" s="252" t="e">
        <f>IF(B91="","",IF(R91="",IF(OR(AD91="SINKABLE",AD91="CALL/SINK"),_xll.BDP(B91,$N$9,$M$9,M91,"PRICING SOURCE",$C$6,"FILL=B"),_xll.BDP(B91,$N$9,$M$9,M91,"PRICING SOURCE",$C$6,"FILL=B")),IF(OR(AD91="SINKABLE",AD91="CALL/SINK"),_xll.BDP(B91,$N$9,$Q$10,S91,$M$9,M91,"PRICING SOURCE",$C$6,"FILL=B"),_xll.BDP(B91,$N$9,$Q$9,S91,$M$9,M91,"PRICING SOURCE",$C$6,"FILL=B"))))</f>
        <v>#VALUE!</v>
      </c>
      <c r="O91" s="235"/>
      <c r="P91" s="236" t="e">
        <f t="shared" si="26"/>
        <v>#VALUE!</v>
      </c>
      <c r="Q91" s="166" t="str">
        <f>IF(ISERROR((IF(OR(AD91="SINKABLE",AD91="CALL/SINK"),_xll.BDP($B91,$Q$10,"fill=b","PRICING_SOURCE",$C$6,$AC91,$N$9,$P91,$M$9,$M91),_xll.BDP($B91,Q$9,"fill=b","PRICING_SOURCE",$C$6,$AC91,$N$9,$P91,$M$9,$M91)))*1),"",IF(OR(AD91="SINKABLE",AD91="CALL/SINK"),_xll.BDP($B91,$Q$10,"fill=b","PRICING_SOURCE",$C$6,$AC91,$N$9,$P91,$M$9,$M91),_xll.BDP($B91,Q$9,"fill=b","PRICING_SOURCE",$C$6,$AC91,$N$9,$P91,$M$9,$M91)))</f>
        <v/>
      </c>
      <c r="R91" s="237"/>
      <c r="S91" s="238" t="str">
        <f t="shared" si="27"/>
        <v/>
      </c>
      <c r="T91" s="239" t="str" cm="1">
        <f t="array" ref="T91">IF(ISERROR((_xlfn.SINGLE(IF(OR(AD91="SINKABLE",AD91="CALL/SINK"),_xll.BDP($B91,$Q$10,"fill=b","PRICING_SOURCE",$C$6,$AC91,$M$9,$U91,"px ask",$AE91),_xll.BDP($B91,Q$9,"fill=b","PRICING_SOURCE",$C$6,$AC91,$M$9,$U91,"px ask",$AE91))))*1),"",IF(OR(AD91="SINKABLE",AD91="CALL/SINK"),_xll.BDP($B91,$Q$10,"fill=b","PRICING_SOURCE",$C$6,$AC91,$M$9,$U91,"px ask",$AE91),_xll.BDP($B91,Q$9,"fill=b","PRICING_SOURCE",$C$6,$AC91,$M$9,$U91,"px ask",$AE91)))</f>
        <v/>
      </c>
      <c r="U91" s="240" t="str">
        <f t="shared" si="22"/>
        <v>20131127</v>
      </c>
      <c r="V91" s="254" t="e" cm="1">
        <f t="array" ref="V91">IF(B91="","",IF(I91="BZDIOVRA Index",IF(OR(AD91="SINKABLE",AD91="CALL/SINK"),_xll.BDP($B91,"PX_ASK",$Q$10,J91,$M$9,M91),_xll.BDP($B91,"PX_"&amp;$H$7,$Q$9,J91,$M$9,M91)),_xll.BDP($B91,"PX_"&amp;$H$7,$Q$9,_xll.BDP(B91,"CPN"),$M$9,M91)))</f>
        <v>#VALUE!</v>
      </c>
      <c r="W91" s="254" t="str">
        <f t="shared" si="23"/>
        <v/>
      </c>
      <c r="X91" s="166" t="e">
        <f>IF(B91="","",IF(OR(AD91="SINKABLE",AD91="CALL/SINK"),_xll.BDP($B91,X$9,"fill=b","PRICING_SOURCE",$C$6,$AC91,$M$9,$M91,$N$9,$P91,$Q$10,$S91),_xll.BDP($B91,X$9,"fill=b","PRICING_SOURCE",$C$6,$AC91,$M$9,$M91,$N$9,$P91,$Q$9,$S91)))</f>
        <v>#VALUE!</v>
      </c>
      <c r="Y91" s="166" t="e">
        <f>IF(B91="","",IF(OR(AD91="SINKABLE",AD91="CALL/SINK"),_xll.BDP($B91,Y$9,"fill=b","PRICING_SOURCE",$C$6,$AC91,$M$9,$M91,$N$9,$P91,$Q$10,$S91),_xll.BDP($B91,Y$9,"fill=b","PRICING_SOURCE",$C$6,$AC91,$M$9,$M91,$N$9,$P91,$Q$9,$S91)))</f>
        <v>#VALUE!</v>
      </c>
      <c r="Z91" s="255" t="e">
        <f>IF(B91="","",IF(OR(AD91="SINKABLE",AD91="CALL/SINK"),_xll.BDP($B91,Z$9,"fill=b","PRICING_SOURCE",$C$6,$AC91,$M$9,$M91,$N$9,$P91,$Q$10,$S91),_xll.BDP($B91,Z$9,"fill=b","PRICING_SOURCE",$C$6,$AC91,$M$9,$M91,$N$9,$P91,$Q$9,$S91)))</f>
        <v>#VALUE!</v>
      </c>
      <c r="AA91" s="166" t="e">
        <f>IF(B91="","",IF(OR(AD91="SINKABLE",AD91="CALL/SINK"),_xll.BDP($B91,AA$9,"fill=b","PRICING_SOURCE",$C$6,$AC91,$M$9,$M91,$N$9,$P91,$Q$10,$S91),_xll.BDP($B91,AA$9,"fill=b","PRICING_SOURCE",$C$6,$AC91,$M$9,$M91,$N$9,$P91,$Q$9,$S91)))</f>
        <v>#VALUE!</v>
      </c>
      <c r="AB91" s="150" t="str" cm="1">
        <f t="array" ref="AB91">IF(B91="","",IF(LEFT(_xlfn.SINGLE(_xll.BDP($B91,AB$9,"fill=b")),1)="#","-",_xll.BDP($B91,AB$9,"fill=b")))</f>
        <v>11/15/2018</v>
      </c>
      <c r="AC91" s="150" t="str">
        <f t="shared" si="28"/>
        <v>YLD FLAG=28</v>
      </c>
      <c r="AD91" s="150" t="str" cm="1">
        <f t="array" ref="AD91">IF(B91="","",_xll.BDP($B91,AD$9,"fill=b"))</f>
        <v>SINKABLE</v>
      </c>
      <c r="AE91" s="256" cm="1">
        <f t="array" ref="AE91">IF(B91="","",IF(ISERROR(_xlfn.SINGLE(_xll.BDH(B91,"PX LAST",AN91,AN91,"DAYS=ALL","PRICING SOURCE",$C$6))*1),_xll.BDP(B91,"PAR AMT"),_xll.BDH(B91,"PX LAST",AN91,AN91,"DAYS=ALL","PRICING SOURCE",$C$6)))</f>
        <v>3340</v>
      </c>
      <c r="AF91" s="150" cm="1">
        <f t="array" ref="AF91">IF(B91="","",_xll.BDP($B91,AF$9,"fill=b"))</f>
        <v>3.5487729940099997</v>
      </c>
      <c r="AG91" s="150"/>
      <c r="AH91" s="190">
        <f>IF(B91="","",IF($AD91="AT MATURITY",$AB91*1,_xll.BADDPERIODS(_xll.BDP($B91,"issue dt"),"numberofperiods",TRUNC(_xll.BDP($B91,"YRS_TO_LONGEST_AVG_LIFE","YLD_YTM_BID",AF91,"SETTLE_DT",U91,AC91),0),"per=y")+(ROUND(MOD(_xll.BDP(B91,"YRS_TO_LONGEST_AVG_LIFE","YLD_YTM_BID",AF91,"SETTLE_DT",U91,AC91),1)*360,0))))</f>
        <v>43052</v>
      </c>
      <c r="AI91" s="150" t="e" cm="1">
        <f t="array" ref="AI91">IF(B91="","",AF91-_xll.BInterpol(_xll.BDP(_xll.BDS("YCGT0372 Index","curve members","CURVE_DATE", $U91,"endcol=1","array=true"),"maturity")*1,_xll.BDH(_xll.BDS("YCGT0372 Index","curve members","CURVE_DATE", $U91,"endcol=1","array=true"),"yld cnv mid",$U91,$U91,"days=all"),AH91,"CUBIC","Extrapolate=LINEAR","SKIP=TRUE","SORT=TRUE","MultiX=Average"))</f>
        <v>#VALUE!</v>
      </c>
      <c r="AJ91" s="189">
        <f t="shared" si="24"/>
        <v>110.80000305175781</v>
      </c>
      <c r="AK91" s="257" t="str" cm="1">
        <f t="array" ref="AK91">IF(B91="","",_xll.BDP($B91,AK$9,"fill=b"))</f>
        <v>199.67MM</v>
      </c>
      <c r="AL91" s="257" t="str" cm="1">
        <f t="array" ref="AL91">IF(B91="","",_xll.BDP($B91,AL$9,"fill=b"))</f>
        <v>0</v>
      </c>
      <c r="AM91" s="256" cm="1">
        <f t="array" ref="AM91">IF(B91="","",_xll.BDP($B91,AM$9,"fill=b"))</f>
        <v>3340</v>
      </c>
      <c r="AN91" s="150" t="str" cm="1">
        <f t="array" ref="AN91">IF(B91="","",_xll.BDP($B91,AN$9,"fill=b"))</f>
        <v>11/27/2013</v>
      </c>
      <c r="AO91" s="150" t="str" cm="1">
        <f t="array" ref="AO91">IF(B91="","",IF(LEFT(_xlfn.SINGLE(_xll.BDP($B91,AO$9,"fill=b")),1)="#","-",_xll.BDP($B91,AO$9,"fill=b")))</f>
        <v>BBBBI</v>
      </c>
      <c r="AP91" s="150" t="str" cm="1">
        <f t="array" ref="AP91">IF(B91="","",_xll.BDP($B91,AP$9,"fill=b"))</f>
        <v>Utilities</v>
      </c>
      <c r="AQ91" s="150" t="str" cm="1">
        <f t="array" ref="AQ91">IF(B91="","",_xll.BDP($B91,AQ$9,"fill=b"))</f>
        <v>Water</v>
      </c>
      <c r="AR91" s="150" t="str" cm="1">
        <f t="array" ref="AR91">IF(B91="","",_xll.BDP($B91,AR$9,"fill=b"))</f>
        <v/>
      </c>
      <c r="AS91" s="150" t="str" cm="1">
        <f t="array" ref="AS91">IF(B91="","",_xll.BDP($B91,AS$9,"fill=b"))</f>
        <v>WR</v>
      </c>
      <c r="AT91" s="150" t="str" cm="1">
        <f t="array" ref="AT91">IF(B91="","",_xll.BDP($B91,AT$9,"fill=b"))</f>
        <v/>
      </c>
      <c r="AU91" s="258" t="str" cm="1">
        <f t="array" ref="AU91">IF(B91="","",_xll.BDP($B91,AU$9,"fill=b"))</f>
        <v>CPN = BZDIOVRA INDEX * 110.80%. ISSUED UNDER ICVM 476/09.</v>
      </c>
    </row>
    <row r="92" spans="2:47" ht="15" x14ac:dyDescent="0.25">
      <c r="B92" s="232" t="s">
        <v>262</v>
      </c>
      <c r="C92" s="150" t="str" cm="1">
        <f t="array" ref="C92">IF(B92="","",_xll.BDP($B92,C$9,"fill=b"))</f>
        <v>ANHB15</v>
      </c>
      <c r="D92" s="150" t="str" cm="1">
        <f t="array" ref="D92">IF(B92="","",_xll.BDP($B92,D$9,"fill=b"))</f>
        <v>CCROBZ 4.88 10/15/18</v>
      </c>
      <c r="E92" s="150" t="str" cm="1">
        <f t="array" ref="E92">IF(B92="","",_xll.BDP($B92,E$9,"fill=b"))</f>
        <v>SISTEMA ANHANGUERA BAND</v>
      </c>
      <c r="F92" s="150" t="str" cm="1">
        <f t="array" ref="F92">IF(B92="","",IF(LEFT(_xlfn.SINGLE(_xll.BDP($B92,F$9,"fill=b")),1)="#","-",_xll.BDP($B92,F$9,"fill=b")))</f>
        <v>MOTV3 BZ</v>
      </c>
      <c r="G92" s="150" t="str" cm="1">
        <f t="array" ref="G92">IF(B92="","",_xll.BDP($B92,G$9,"fill=b"))</f>
        <v>BRAZIL IPCA+SPREAD</v>
      </c>
      <c r="H92" s="150" t="str" cm="1">
        <f t="array" ref="H92">IF(B92="","",_xll.BDP($B92,H$9,"fill=b"))</f>
        <v/>
      </c>
      <c r="I92" s="150" t="str" cm="1">
        <f t="array" ref="I92">IF(LEFT(_xlfn.SINGLE(_xll.BDP(B92,"REFERENCE_INDEX")),1)="#",IF(LEFT(_xlfn.SINGLE(_xll.BDP(B92, "RESET_IDX"))&amp;" Index",1)="#","",_xlfn.SINGLE(_xll.BDP(B92, "RESET_IDX"))&amp;" Index"),_xll.BDP(B92,"REFERENCE_INDEX"))</f>
        <v>BZCLVLUE Index</v>
      </c>
      <c r="J92" s="150" t="str">
        <f>IF(I92="BZDIOVRA Index",IF(_xll.BDP(B92,"FLT_SPREAD")/100=0,_xll.BDP(B92,"FLT_BENCH_MULTIPLIER"),_xll.BDP(B92,"FLT_SPREAD")/100),"")</f>
        <v/>
      </c>
      <c r="K92" s="150" t="str" cm="1">
        <f t="array" ref="K92">IF(B92="","",IF(LEFT(_xlfn.SINGLE(_xll.BDP($B92,K$9,"fill=b")),1)="#","-",_xll.BDP($B92,K$9,"fill=b")))</f>
        <v>-</v>
      </c>
      <c r="L92" s="233"/>
      <c r="M92" s="234" t="e">
        <f t="shared" si="25"/>
        <v>#VALUE!</v>
      </c>
      <c r="N92" s="252" t="e">
        <f>IF(B92="","",IF(R92="",IF(OR(AD92="SINKABLE",AD92="CALL/SINK"),_xll.BDP(B92,$N$9,$M$9,M92,"PRICING SOURCE",$C$6,"FILL=B"),_xll.BDP(B92,$N$9,$M$9,M92,"PRICING SOURCE",$C$6,"FILL=B")),IF(OR(AD92="SINKABLE",AD92="CALL/SINK"),_xll.BDP(B92,$N$9,$Q$10,S92,$M$9,M92,"PRICING SOURCE",$C$6,"FILL=B"),_xll.BDP(B92,$N$9,$Q$9,S92,$M$9,M92,"PRICING SOURCE",$C$6,"FILL=B"))))</f>
        <v>#VALUE!</v>
      </c>
      <c r="O92" s="235"/>
      <c r="P92" s="236" t="e">
        <f t="shared" si="26"/>
        <v>#VALUE!</v>
      </c>
      <c r="Q92" s="166" t="str">
        <f>IF(ISERROR((IF(OR(AD92="SINKABLE",AD92="CALL/SINK"),_xll.BDP($B92,$Q$10,"fill=b","PRICING_SOURCE",$C$6,$AC92,$N$9,$P92,$M$9,$M92),_xll.BDP($B92,Q$9,"fill=b","PRICING_SOURCE",$C$6,$AC92,$N$9,$P92,$M$9,$M92)))*1),"",IF(OR(AD92="SINKABLE",AD92="CALL/SINK"),_xll.BDP($B92,$Q$10,"fill=b","PRICING_SOURCE",$C$6,$AC92,$N$9,$P92,$M$9,$M92),_xll.BDP($B92,Q$9,"fill=b","PRICING_SOURCE",$C$6,$AC92,$N$9,$P92,$M$9,$M92)))</f>
        <v/>
      </c>
      <c r="R92" s="237"/>
      <c r="S92" s="238" t="str">
        <f t="shared" si="27"/>
        <v/>
      </c>
      <c r="T92" s="239" cm="1">
        <f t="array" ref="T92">IF(ISERROR((_xlfn.SINGLE(IF(OR(AD92="SINKABLE",AD92="CALL/SINK"),_xll.BDP($B92,$Q$10,"fill=b","PRICING_SOURCE",$C$6,$AC92,$M$9,$U92,"px ask",$AE92),_xll.BDP($B92,Q$9,"fill=b","PRICING_SOURCE",$C$6,$AC92,$M$9,$U92,"px ask",$AE92))))*1),"",IF(OR(AD92="SINKABLE",AD92="CALL/SINK"),_xll.BDP($B92,$Q$10,"fill=b","PRICING_SOURCE",$C$6,$AC92,$M$9,$U92,"px ask",$AE92),_xll.BDP($B92,Q$9,"fill=b","PRICING_SOURCE",$C$6,$AC92,$M$9,$U92,"px ask",$AE92)))</f>
        <v>4.9269178682139758</v>
      </c>
      <c r="U92" s="240" t="str">
        <f t="shared" si="22"/>
        <v>20131017</v>
      </c>
      <c r="V92" s="254" t="e" cm="1">
        <f t="array" ref="V92">IF(B92="","",IF(I92="BZDIOVRA Index",IF(OR(AD92="SINKABLE",AD92="CALL/SINK"),_xll.BDP($B92,"PX_ASK",$Q$10,J92,$M$9,M92),_xll.BDP($B92,"PX_"&amp;$H$7,$Q$9,J92,$M$9,M92)),_xll.BDP($B92,"PX_"&amp;$H$7,$Q$9,_xll.BDP(B92,"CPN"),$M$9,M92)))</f>
        <v>#VALUE!</v>
      </c>
      <c r="W92" s="254" t="str">
        <f t="shared" si="23"/>
        <v/>
      </c>
      <c r="X92" s="166" t="e">
        <f>IF(B92="","",IF(OR(AD92="SINKABLE",AD92="CALL/SINK"),_xll.BDP($B92,X$9,"fill=b","PRICING_SOURCE",$C$6,$AC92,$M$9,$M92,$N$9,$P92,$Q$10,$S92),_xll.BDP($B92,X$9,"fill=b","PRICING_SOURCE",$C$6,$AC92,$M$9,$M92,$N$9,$P92,$Q$9,$S92)))</f>
        <v>#VALUE!</v>
      </c>
      <c r="Y92" s="166" t="e">
        <f>IF(B92="","",IF(OR(AD92="SINKABLE",AD92="CALL/SINK"),_xll.BDP($B92,Y$9,"fill=b","PRICING_SOURCE",$C$6,$AC92,$M$9,$M92,$N$9,$P92,$Q$10,$S92),_xll.BDP($B92,Y$9,"fill=b","PRICING_SOURCE",$C$6,$AC92,$M$9,$M92,$N$9,$P92,$Q$9,$S92)))</f>
        <v>#VALUE!</v>
      </c>
      <c r="Z92" s="255" t="e">
        <f>IF(B92="","",IF(OR(AD92="SINKABLE",AD92="CALL/SINK"),_xll.BDP($B92,Z$9,"fill=b","PRICING_SOURCE",$C$6,$AC92,$M$9,$M92,$N$9,$P92,$Q$10,$S92),_xll.BDP($B92,Z$9,"fill=b","PRICING_SOURCE",$C$6,$AC92,$M$9,$M92,$N$9,$P92,$Q$9,$S92)))</f>
        <v>#VALUE!</v>
      </c>
      <c r="AA92" s="166" t="e">
        <f>IF(B92="","",IF(OR(AD92="SINKABLE",AD92="CALL/SINK"),_xll.BDP($B92,AA$9,"fill=b","PRICING_SOURCE",$C$6,$AC92,$M$9,$M92,$N$9,$P92,$Q$10,$S92),_xll.BDP($B92,AA$9,"fill=b","PRICING_SOURCE",$C$6,$AC92,$M$9,$M92,$N$9,$P92,$Q$9,$S92)))</f>
        <v>#VALUE!</v>
      </c>
      <c r="AB92" s="150" t="str" cm="1">
        <f t="array" ref="AB92">IF(B92="","",IF(LEFT(_xlfn.SINGLE(_xll.BDP($B92,AB$9,"fill=b")),1)="#","-",_xll.BDP($B92,AB$9,"fill=b")))</f>
        <v>10/15/2018</v>
      </c>
      <c r="AC92" s="150" t="str">
        <f t="shared" si="28"/>
        <v>YLD FLAG=1</v>
      </c>
      <c r="AD92" s="150" t="str" cm="1">
        <f t="array" ref="AD92">IF(B92="","",_xll.BDP($B92,AD$9,"fill=b"))</f>
        <v>AT MATURITY</v>
      </c>
      <c r="AE92" s="256" cm="1">
        <f t="array" ref="AE92">IF(B92="","",IF(ISERROR(_xlfn.SINGLE(_xll.BDH(B92,"PX LAST",AN92,AN92,"DAYS=ALL","PRICING SOURCE",$C$6))*1),_xll.BDP(B92,"PAR AMT"),_xll.BDH(B92,"PX LAST",AN92,AN92,"DAYS=ALL","PRICING SOURCE",$C$6)))</f>
        <v>1000</v>
      </c>
      <c r="AF92" s="150" cm="1">
        <f t="array" ref="AF92">IF(B92="","",_xll.BDP($B92,AF$9,"fill=b"))</f>
        <v>4.88</v>
      </c>
      <c r="AG92" s="150"/>
      <c r="AH92" s="190">
        <f>IF(B92="","",IF($AD92="AT MATURITY",$AB92*1,_xll.BADDPERIODS(_xll.BDP($B92,"issue dt"),"numberofperiods",TRUNC(_xll.BDP($B92,"YRS_TO_LONGEST_AVG_LIFE","YLD_YTM_BID",AF92,"SETTLE_DT",U92,AC92),0),"per=y")+(ROUND(MOD(_xll.BDP(B92,"YRS_TO_LONGEST_AVG_LIFE","YLD_YTM_BID",AF92,"SETTLE_DT",U92,AC92),1)*360,0))))</f>
        <v>43388</v>
      </c>
      <c r="AI92" s="150" t="e" cm="1">
        <f t="array" ref="AI92">IF(B92="","",AF92-_xll.BInterpol(_xll.BDP(_xll.BDS("YCGT0372 Index","curve members","CURVE_DATE", $U92,"endcol=1","array=true"),"maturity")*1,_xll.BDH(_xll.BDS("YCGT0372 Index","curve members","CURVE_DATE", $U92,"endcol=1","array=true"),"yld cnv mid",$U92,$U92,"days=all"),AH92,"CUBIC","Extrapolate=LINEAR","SKIP=TRUE","SORT=TRUE","MultiX=Average"))</f>
        <v>#VALUE!</v>
      </c>
      <c r="AJ92" s="189" t="str">
        <f t="shared" si="24"/>
        <v/>
      </c>
      <c r="AK92" s="257" t="str" cm="1">
        <f t="array" ref="AK92">IF(B92="","",_xll.BDP($B92,AK$9,"fill=b"))</f>
        <v>450MM</v>
      </c>
      <c r="AL92" s="257" t="str" cm="1">
        <f t="array" ref="AL92">IF(B92="","",_xll.BDP($B92,AL$9,"fill=b"))</f>
        <v>0</v>
      </c>
      <c r="AM92" s="256" cm="1">
        <f t="array" ref="AM92">IF(B92="","",_xll.BDP($B92,AM$9,"fill=b"))</f>
        <v>1000</v>
      </c>
      <c r="AN92" s="150" t="str" cm="1">
        <f t="array" ref="AN92">IF(B92="","",_xll.BDP($B92,AN$9,"fill=b"))</f>
        <v>10/17/2013</v>
      </c>
      <c r="AO92" s="150" t="str" cm="1">
        <f t="array" ref="AO92">IF(B92="","",IF(LEFT(_xlfn.SINGLE(_xll.BDP($B92,AO$9,"fill=b")),1)="#","-",_xll.BDP($B92,AO$9,"fill=b")))</f>
        <v>ITABBA,BBINVE</v>
      </c>
      <c r="AP92" s="150" t="str" cm="1">
        <f t="array" ref="AP92">IF(B92="","",_xll.BDP($B92,AP$9,"fill=b"))</f>
        <v>Consumer, Non-cyclical</v>
      </c>
      <c r="AQ92" s="150" t="str" cm="1">
        <f t="array" ref="AQ92">IF(B92="","",_xll.BDP($B92,AQ$9,"fill=b"))</f>
        <v>Commercial Services</v>
      </c>
      <c r="AR92" s="150" t="str" cm="1">
        <f t="array" ref="AR92">IF(B92="","",_xll.BDP($B92,AR$9,"fill=b"))</f>
        <v/>
      </c>
      <c r="AS92" s="150" t="str" cm="1">
        <f t="array" ref="AS92">IF(B92="","",_xll.BDP($B92,AS$9,"fill=b"))</f>
        <v>WR</v>
      </c>
      <c r="AT92" s="150" t="str" cm="1">
        <f t="array" ref="AT92">IF(B92="","",_xll.BDP($B92,AT$9,"fill=b"))</f>
        <v/>
      </c>
      <c r="AU92" s="258" t="str" cm="1">
        <f t="array" ref="AU92">IF(B92="","",_xll.BDP($B92,AU$9,"fill=b"))</f>
        <v>CPN = BZCLVLUE INDEX + 488 BPS. ISSUED UNDER LAW 12.431</v>
      </c>
    </row>
    <row r="93" spans="2:47" ht="15" x14ac:dyDescent="0.25">
      <c r="B93" s="232" t="s">
        <v>278</v>
      </c>
      <c r="C93" s="150" t="str" cm="1">
        <f t="array" ref="C93">IF(B93="","",_xll.BDP($B93,C$9,"fill=b"))</f>
        <v>NRTB11</v>
      </c>
      <c r="D93" s="150" t="str" cm="1">
        <f t="array" ref="D93">IF(B93="","",_xll.BDP($B93,D$9,"fill=b"))</f>
        <v>NBTEBZ 7.15 09/15/26</v>
      </c>
      <c r="E93" s="150" t="str" cm="1">
        <f t="array" ref="E93">IF(B93="","",_xll.BDP($B93,E$9,"fill=b"))</f>
        <v>NORTE BRASIL TRANSMISSOR</v>
      </c>
      <c r="F93" s="150" t="str" cm="1">
        <f t="array" ref="F93">IF(B93="","",IF(LEFT(_xlfn.SINGLE(_xll.BDP($B93,F$9,"fill=b")),1)="#","-",_xll.BDP($B93,F$9,"fill=b")))</f>
        <v>1885Z CN</v>
      </c>
      <c r="G93" s="150" t="str" cm="1">
        <f t="array" ref="G93">IF(B93="","",_xll.BDP($B93,G$9,"fill=b"))</f>
        <v>BRAZIL IPCA+SPREAD</v>
      </c>
      <c r="H93" s="150" t="str" cm="1">
        <f t="array" ref="H93">IF(B93="","",_xll.BDP($B93,H$9,"fill=b"))</f>
        <v/>
      </c>
      <c r="I93" s="150" t="str" cm="1">
        <f t="array" ref="I93">IF(LEFT(_xlfn.SINGLE(_xll.BDP(B93,"REFERENCE_INDEX")),1)="#",IF(LEFT(_xlfn.SINGLE(_xll.BDP(B93, "RESET_IDX"))&amp;" Index",1)="#","",_xlfn.SINGLE(_xll.BDP(B93, "RESET_IDX"))&amp;" Index"),_xll.BDP(B93,"REFERENCE_INDEX"))</f>
        <v>BZCLVLUE Index</v>
      </c>
      <c r="J93" s="150" t="str">
        <f>IF(I93="BZDIOVRA Index",IF(_xll.BDP(B93,"FLT_SPREAD")/100=0,_xll.BDP(B93,"FLT_BENCH_MULTIPLIER"),_xll.BDP(B93,"FLT_SPREAD")/100),"")</f>
        <v/>
      </c>
      <c r="K93" s="150" t="str" cm="1">
        <f t="array" ref="K93">IF(B93="","",IF(LEFT(_xlfn.SINGLE(_xll.BDP($B93,K$9,"fill=b")),1)="#","-",_xll.BDP($B93,K$9,"fill=b")))</f>
        <v>6/23/2025</v>
      </c>
      <c r="L93" s="233"/>
      <c r="M93" s="234" t="str">
        <f t="shared" si="25"/>
        <v>20250623</v>
      </c>
      <c r="N93" s="252" cm="1">
        <f t="array" ref="N93">IF(B93="","",IF(R93="",IF(OR(AD93="SINKABLE",AD93="CALL/SINK"),_xll.BDP(B93,$N$9,$M$9,M93,"PRICING SOURCE",$C$6,"FILL=B"),_xll.BDP(B93,$N$9,$M$9,M93,"PRICING SOURCE",$C$6,"FILL=B")),IF(OR(AD93="SINKABLE",AD93="CALL/SINK"),_xll.BDP(B93,$N$9,$Q$10,S93,$M$9,M93,"PRICING SOURCE",$C$6,"FILL=B"),_xll.BDP(B93,$N$9,$Q$9,S93,$M$9,M93,"PRICING SOURCE",$C$6,"FILL=B"))))</f>
        <v>445.84885600000001</v>
      </c>
      <c r="O93" s="235"/>
      <c r="P93" s="236">
        <f t="shared" si="26"/>
        <v>445.84885600000001</v>
      </c>
      <c r="Q93" s="166" cm="1">
        <f t="array" ref="Q93">IF(ISERROR((_xlfn.SINGLE(IF(OR(AD93="SINKABLE",AD93="CALL/SINK"),_xll.BDP($B93,$Q$10,"fill=b","PRICING_SOURCE",$C$6,$AC93,$N$9,$P93,$M$9,$M93),_xll.BDP($B93,Q$9,"fill=b","PRICING_SOURCE",$C$6,$AC93,$N$9,$P93,$M$9,$M93))))*1),"",IF(OR(AD93="SINKABLE",AD93="CALL/SINK"),_xll.BDP($B93,$Q$10,"fill=b","PRICING_SOURCE",$C$6,$AC93,$N$9,$P93,$M$9,$M93),_xll.BDP($B93,Q$9,"fill=b","PRICING_SOURCE",$C$6,$AC93,$N$9,$P93,$M$9,$M93)))</f>
        <v>9.8718004010324378</v>
      </c>
      <c r="R93" s="237"/>
      <c r="S93" s="238">
        <f t="shared" si="27"/>
        <v>9.8718004010324378</v>
      </c>
      <c r="T93" s="239" cm="1">
        <f t="array" ref="T93">IF(ISERROR((_xlfn.SINGLE(IF(OR(AD93="SINKABLE",AD93="CALL/SINK"),_xll.BDP($B93,$Q$10,"fill=b","PRICING_SOURCE",$C$6,$AC93,$M$9,$U93,"px ask",$AE93),_xll.BDP($B93,Q$9,"fill=b","PRICING_SOURCE",$C$6,$AC93,$M$9,$U93,"px ask",$AE93))))*1),"",IF(OR(AD93="SINKABLE",AD93="CALL/SINK"),_xll.BDP($B93,$Q$10,"fill=b","PRICING_SOURCE",$C$6,$AC93,$M$9,$U93,"px ask",$AE93),_xll.BDP($B93,Q$9,"fill=b","PRICING_SOURCE",$C$6,$AC93,$M$9,$U93,"px ask",$AE93)))</f>
        <v>22.334097678110652</v>
      </c>
      <c r="U93" s="240" t="str">
        <f t="shared" si="22"/>
        <v>20131021</v>
      </c>
      <c r="V93" s="254" cm="1">
        <f t="array" ref="V93">IF(B93="","",IF(I93="BZDIOVRA Index",IF(OR(AD93="SINKABLE",AD93="CALL/SINK"),_xll.BDP($B93,"PX_ASK",$Q$10,J93,$M$9,M93),_xll.BDP($B93,"PX_"&amp;$H$7,$Q$9,J93,$M$9,M93)),_xll.BDP($B93,"PX_"&amp;$H$7,$Q$9,_xll.BDP(B93,"CPN"),$M$9,M93)))</f>
        <v>1994.7845709999999</v>
      </c>
      <c r="W93" s="254">
        <f t="shared" si="23"/>
        <v>22.350727115183812</v>
      </c>
      <c r="X93" s="166" cm="1">
        <f t="array" ref="X93">IF(B93="","",IF(OR(AD93="SINKABLE",AD93="CALL/SINK"),_xll.BDP($B93,X$9,"fill=b","PRICING_SOURCE",$C$6,$AC93,$M$9,$M93,$N$9,$P93,$Q$10,$S93),_xll.BDP($B93,X$9,"fill=b","PRICING_SOURCE",$C$6,$AC93,$M$9,$M93,$N$9,$P93,$Q$9,$S93)))</f>
        <v>0.70378756086057936</v>
      </c>
      <c r="Y93" s="166" cm="1">
        <f t="array" ref="Y93">IF(B93="","",IF(OR(AD93="SINKABLE",AD93="CALL/SINK"),_xll.BDP($B93,Y$9,"fill=b","PRICING_SOURCE",$C$6,$AC93,$M$9,$M93,$N$9,$P93,$Q$10,$S93),_xll.BDP($B93,Y$9,"fill=b","PRICING_SOURCE",$C$6,$AC93,$M$9,$M93,$N$9,$P93,$Q$9,$S93)))</f>
        <v>0.6405534029713279</v>
      </c>
      <c r="Z93" s="255" cm="1">
        <f t="array" ref="Z93">IF(B93="","",IF(OR(AD93="SINKABLE",AD93="CALL/SINK"),_xll.BDP($B93,Z$9,"fill=b","PRICING_SOURCE",$C$6,$AC93,$M$9,$M93,$N$9,$P93,$Q$10,$S93),_xll.BDP($B93,Z$9,"fill=b","PRICING_SOURCE",$C$6,$AC93,$M$9,$M93,$N$9,$P93,$Q$9,$S93)))</f>
        <v>8.9716500318419191E-3</v>
      </c>
      <c r="AA93" s="166" cm="1">
        <f t="array" ref="AA93">IF(B93="","",IF(OR(AD93="SINKABLE",AD93="CALL/SINK"),_xll.BDP($B93,AA$9,"fill=b","PRICING_SOURCE",$C$6,$AC93,$M$9,$M93,$N$9,$P93,$Q$10,$S93),_xll.BDP($B93,AA$9,"fill=b","PRICING_SOURCE",$C$6,$AC93,$M$9,$M93,$N$9,$P93,$Q$9,$S93)))</f>
        <v>2.8559000000001333</v>
      </c>
      <c r="AB93" s="150" t="str" cm="1">
        <f t="array" ref="AB93">IF(B93="","",IF(LEFT(_xlfn.SINGLE(_xll.BDP($B93,AB$9,"fill=b")),1)="#","-",_xll.BDP($B93,AB$9,"fill=b")))</f>
        <v>9/15/2026</v>
      </c>
      <c r="AC93" s="150" t="str">
        <f t="shared" si="28"/>
        <v>YLD FLAG=28</v>
      </c>
      <c r="AD93" s="150" t="str" cm="1">
        <f t="array" ref="AD93">IF(B93="","",_xll.BDP($B93,AD$9,"fill=b"))</f>
        <v>SINKABLE</v>
      </c>
      <c r="AE93" s="256" cm="1">
        <f t="array" ref="AE93">IF(B93="","",IF(ISERROR(_xlfn.SINGLE(_xll.BDH(B93,"PX LAST",AN93,AN93,"DAYS=ALL","PRICING SOURCE",$C$6))*1),_xll.BDP(B93,"PAR AMT"),_xll.BDH(B93,"PX LAST",AN93,AN93,"DAYS=ALL","PRICING SOURCE",$C$6)))</f>
        <v>227.5</v>
      </c>
      <c r="AF93" s="150" cm="1">
        <f t="array" ref="AF93">IF(B93="","",_xll.BDP($B93,AF$9,"fill=b"))</f>
        <v>7.15</v>
      </c>
      <c r="AG93" s="150"/>
      <c r="AH93" s="190">
        <f>IF(B93="","",IF($AD93="AT MATURITY",$AB93*1,_xll.BADDPERIODS(_xll.BDP($B93,"issue dt"),"numberofperiods",TRUNC(_xll.BDP($B93,"YRS_TO_LONGEST_AVG_LIFE","YLD_YTM_BID",AF93,"SETTLE_DT",U93,AC93),0),"per=y")+(ROUND(MOD(_xll.BDP(B93,"YRS_TO_LONGEST_AVG_LIFE","YLD_YTM_BID",AF93,"SETTLE_DT",U93,AC93),1)*360,0))))</f>
        <v>77104</v>
      </c>
      <c r="AI93" s="150" t="e" cm="1">
        <f t="array" ref="AI93">IF(B93="","",AF93-_xll.BInterpol(_xll.BDP(_xll.BDS("YCGT0372 Index","curve members","CURVE_DATE", $U93,"endcol=1","array=true"),"maturity")*1,_xll.BDH(_xll.BDS("YCGT0372 Index","curve members","CURVE_DATE", $U93,"endcol=1","array=true"),"yld cnv mid",$U93,$U93,"days=all"),AH93,"CUBIC","Extrapolate=LINEAR","SKIP=TRUE","SORT=TRUE","MultiX=Average"))</f>
        <v>#VALUE!</v>
      </c>
      <c r="AJ93" s="189" t="str">
        <f t="shared" si="24"/>
        <v/>
      </c>
      <c r="AK93" s="257" t="str" cm="1">
        <f t="array" ref="AK93">IF(B93="","",_xll.BDP($B93,AK$9,"fill=b"))</f>
        <v>100MM</v>
      </c>
      <c r="AL93" s="257" t="str" cm="1">
        <f t="array" ref="AL93">IF(B93="","",_xll.BDP($B93,AL$9,"fill=b"))</f>
        <v>22.75MM</v>
      </c>
      <c r="AM93" s="256" cm="1">
        <f t="array" ref="AM93">IF(B93="","",_xll.BDP($B93,AM$9,"fill=b"))</f>
        <v>227.5</v>
      </c>
      <c r="AN93" s="150" t="str" cm="1">
        <f t="array" ref="AN93">IF(B93="","",_xll.BDP($B93,AN$9,"fill=b"))</f>
        <v>10/21/2013</v>
      </c>
      <c r="AO93" s="150" t="str" cm="1">
        <f t="array" ref="AO93">IF(B93="","",IF(LEFT(_xlfn.SINGLE(_xll.BDP($B93,AO$9,"fill=b")),1)="#","-",_xll.BDP($B93,AO$9,"fill=b")))</f>
        <v>BTG</v>
      </c>
      <c r="AP93" s="150" t="str" cm="1">
        <f t="array" ref="AP93">IF(B93="","",_xll.BDP($B93,AP$9,"fill=b"))</f>
        <v>Utilities</v>
      </c>
      <c r="AQ93" s="150" t="str" cm="1">
        <f t="array" ref="AQ93">IF(B93="","",_xll.BDP($B93,AQ$9,"fill=b"))</f>
        <v>Electric</v>
      </c>
      <c r="AR93" s="150" t="str" cm="1">
        <f t="array" ref="AR93">IF(B93="","",_xll.BDP($B93,AR$9,"fill=b"))</f>
        <v>brAAA</v>
      </c>
      <c r="AS93" s="150" t="str" cm="1">
        <f t="array" ref="AS93">IF(B93="","",_xll.BDP($B93,AS$9,"fill=b"))</f>
        <v/>
      </c>
      <c r="AT93" s="150" t="str" cm="1">
        <f t="array" ref="AT93">IF(B93="","",_xll.BDP($B93,AT$9,"fill=b"))</f>
        <v/>
      </c>
      <c r="AU93" s="258" t="str" cm="1">
        <f t="array" ref="AU93">IF(B93="","",_xll.BDP($B93,AU$9,"fill=b"))</f>
        <v>CPN = BZCLVLUE INDEX + 715 BPS. ISSUED UNDER ICVM 476/09. ISSUED UNDER LAW 12.431</v>
      </c>
    </row>
    <row r="94" spans="2:47" ht="15" x14ac:dyDescent="0.25">
      <c r="B94" s="232" t="s">
        <v>301</v>
      </c>
      <c r="C94" s="150" t="str" cm="1">
        <f t="array" ref="C94">IF(B94="","",_xll.BDP($B94,C$9,"fill=b"))</f>
        <v>RESA21</v>
      </c>
      <c r="D94" s="150" t="str" cm="1">
        <f t="array" ref="D94">IF(B94="","",_xll.BDP($B94,D$9,"fill=b"))</f>
        <v>RAIZBZ Float 10/15/18</v>
      </c>
      <c r="E94" s="150" t="str" cm="1">
        <f t="array" ref="E94">IF(B94="","",_xll.BDP($B94,E$9,"fill=b"))</f>
        <v>RAIZEN ENERGIA SA</v>
      </c>
      <c r="F94" s="150" t="str" cm="1">
        <f t="array" ref="F94">IF(B94="","",IF(LEFT(_xlfn.SINGLE(_xll.BDP($B94,F$9,"fill=b")),1)="#","-",_xll.BDP($B94,F$9,"fill=b")))</f>
        <v>RAIZ4 BZ</v>
      </c>
      <c r="G94" s="150" t="str" cm="1">
        <f t="array" ref="G94">IF(B94="","",_xll.BDP($B94,G$9,"fill=b"))</f>
        <v>BRAZIL DI+SPREAD</v>
      </c>
      <c r="H94" s="150" t="str" cm="1">
        <f t="array" ref="H94">IF(B94="","",_xll.BDP($B94,H$9,"fill=b"))</f>
        <v>OVRA BZDI +94.000</v>
      </c>
      <c r="I94" s="150" t="str" cm="1">
        <f t="array" ref="I94">IF(LEFT(_xlfn.SINGLE(_xll.BDP(B94,"REFERENCE_INDEX")),1)="#",IF(LEFT(_xlfn.SINGLE(_xll.BDP(B94, "RESET_IDX"))&amp;" Index",1)="#","",_xlfn.SINGLE(_xll.BDP(B94, "RESET_IDX"))&amp;" Index"),_xll.BDP(B94,"REFERENCE_INDEX"))</f>
        <v>BZDIOVRA Index</v>
      </c>
      <c r="J94" s="150" cm="1">
        <f t="array" ref="J94">IF(I94="BZDIOVRA Index",IF(_xlfn.SINGLE(_xll.BDP(B94,"FLT_SPREAD"))/100=0,_xll.BDP(B94,"FLT_BENCH_MULTIPLIER"),_xlfn.SINGLE(_xll.BDP(B94,"FLT_SPREAD"))/100),"")</f>
        <v>0.94</v>
      </c>
      <c r="K94" s="150" t="str" cm="1">
        <f t="array" ref="K94">IF(B94="","",IF(LEFT(_xlfn.SINGLE(_xll.BDP($B94,K$9,"fill=b")),1)="#","-",_xll.BDP($B94,K$9,"fill=b")))</f>
        <v>-</v>
      </c>
      <c r="L94" s="233"/>
      <c r="M94" s="234" t="e">
        <f t="shared" si="25"/>
        <v>#VALUE!</v>
      </c>
      <c r="N94" s="252" t="e">
        <f>IF(B94="","",IF(R94="",IF(OR(AD94="SINKABLE",AD94="CALL/SINK"),_xll.BDP(B94,$N$9,$M$9,M94,"PRICING SOURCE",$C$6,"FILL=B"),_xll.BDP(B94,$N$9,$M$9,M94,"PRICING SOURCE",$C$6,"FILL=B")),IF(OR(AD94="SINKABLE",AD94="CALL/SINK"),_xll.BDP(B94,$N$9,$Q$10,S94,$M$9,M94,"PRICING SOURCE",$C$6,"FILL=B"),_xll.BDP(B94,$N$9,$Q$9,S94,$M$9,M94,"PRICING SOURCE",$C$6,"FILL=B"))))</f>
        <v>#VALUE!</v>
      </c>
      <c r="O94" s="235"/>
      <c r="P94" s="236" t="e">
        <f t="shared" si="26"/>
        <v>#VALUE!</v>
      </c>
      <c r="Q94" s="166" t="str">
        <f>IF(ISERROR((IF(OR(AD94="SINKABLE",AD94="CALL/SINK"),_xll.BDP($B94,$Q$10,"fill=b","PRICING_SOURCE",$C$6,$AC94,$N$9,$P94,$M$9,$M94),_xll.BDP($B94,Q$9,"fill=b","PRICING_SOURCE",$C$6,$AC94,$N$9,$P94,$M$9,$M94)))*1),"",IF(OR(AD94="SINKABLE",AD94="CALL/SINK"),_xll.BDP($B94,$Q$10,"fill=b","PRICING_SOURCE",$C$6,$AC94,$N$9,$P94,$M$9,$M94),_xll.BDP($B94,Q$9,"fill=b","PRICING_SOURCE",$C$6,$AC94,$N$9,$P94,$M$9,$M94)))</f>
        <v/>
      </c>
      <c r="R94" s="237"/>
      <c r="S94" s="238" t="str">
        <f t="shared" si="27"/>
        <v/>
      </c>
      <c r="T94" s="239" cm="1">
        <f t="array" ref="T94">IF(ISERROR((_xlfn.SINGLE(IF(OR(AD94="SINKABLE",AD94="CALL/SINK"),_xll.BDP($B94,$Q$10,"fill=b","PRICING_SOURCE",$C$6,$AC94,$M$9,$U94,"px ask",$AE94),_xll.BDP($B94,Q$9,"fill=b","PRICING_SOURCE",$C$6,$AC94,$M$9,$U94,"px ask",$AE94))))*1),"",IF(OR(AD94="SINKABLE",AD94="CALL/SINK"),_xll.BDP($B94,$Q$10,"fill=b","PRICING_SOURCE",$C$6,$AC94,$M$9,$U94,"px ask",$AE94),_xll.BDP($B94,Q$9,"fill=b","PRICING_SOURCE",$C$6,$AC94,$M$9,$U94,"px ask",$AE94)))</f>
        <v>1.0845007909326982</v>
      </c>
      <c r="U94" s="240" t="str">
        <f t="shared" si="22"/>
        <v>20131028</v>
      </c>
      <c r="V94" s="254" t="e" cm="1">
        <f t="array" ref="V94">IF(B94="","",IF(I94="BZDIOVRA Index",IF(OR(AD94="SINKABLE",AD94="CALL/SINK"),_xll.BDP($B94,"PX_ASK",$Q$10,J94,$M$9,M94),_xll.BDP($B94,"PX_"&amp;$H$7,$Q$9,J94,$M$9,M94)),_xll.BDP($B94,"PX_"&amp;$H$7,$Q$9,_xll.BDP(B94,"CPN"),$M$9,M94)))</f>
        <v>#VALUE!</v>
      </c>
      <c r="W94" s="254" t="str">
        <f t="shared" si="23"/>
        <v/>
      </c>
      <c r="X94" s="166" t="e">
        <f>IF(B94="","",IF(OR(AD94="SINKABLE",AD94="CALL/SINK"),_xll.BDP($B94,X$9,"fill=b","PRICING_SOURCE",$C$6,$AC94,$M$9,$M94,$N$9,$P94,$Q$10,$S94),_xll.BDP($B94,X$9,"fill=b","PRICING_SOURCE",$C$6,$AC94,$M$9,$M94,$N$9,$P94,$Q$9,$S94)))</f>
        <v>#VALUE!</v>
      </c>
      <c r="Y94" s="166" t="e">
        <f>IF(B94="","",IF(OR(AD94="SINKABLE",AD94="CALL/SINK"),_xll.BDP($B94,Y$9,"fill=b","PRICING_SOURCE",$C$6,$AC94,$M$9,$M94,$N$9,$P94,$Q$10,$S94),_xll.BDP($B94,Y$9,"fill=b","PRICING_SOURCE",$C$6,$AC94,$M$9,$M94,$N$9,$P94,$Q$9,$S94)))</f>
        <v>#VALUE!</v>
      </c>
      <c r="Z94" s="255" t="e">
        <f>IF(B94="","",IF(OR(AD94="SINKABLE",AD94="CALL/SINK"),_xll.BDP($B94,Z$9,"fill=b","PRICING_SOURCE",$C$6,$AC94,$M$9,$M94,$N$9,$P94,$Q$10,$S94),_xll.BDP($B94,Z$9,"fill=b","PRICING_SOURCE",$C$6,$AC94,$M$9,$M94,$N$9,$P94,$Q$9,$S94)))</f>
        <v>#VALUE!</v>
      </c>
      <c r="AA94" s="166" t="e">
        <f>IF(B94="","",IF(OR(AD94="SINKABLE",AD94="CALL/SINK"),_xll.BDP($B94,AA$9,"fill=b","PRICING_SOURCE",$C$6,$AC94,$M$9,$M94,$N$9,$P94,$Q$10,$S94),_xll.BDP($B94,AA$9,"fill=b","PRICING_SOURCE",$C$6,$AC94,$M$9,$M94,$N$9,$P94,$Q$9,$S94)))</f>
        <v>#VALUE!</v>
      </c>
      <c r="AB94" s="150" t="str" cm="1">
        <f t="array" ref="AB94">IF(B94="","",IF(LEFT(_xlfn.SINGLE(_xll.BDP($B94,AB$9,"fill=b")),1)="#","-",_xll.BDP($B94,AB$9,"fill=b")))</f>
        <v>10/15/2018</v>
      </c>
      <c r="AC94" s="150" t="str">
        <f t="shared" si="28"/>
        <v>YLD FLAG=1</v>
      </c>
      <c r="AD94" s="150" t="str" cm="1">
        <f t="array" ref="AD94">IF(B94="","",_xll.BDP($B94,AD$9,"fill=b"))</f>
        <v>AT MATURITY</v>
      </c>
      <c r="AE94" s="256" cm="1">
        <f t="array" ref="AE94">IF(B94="","",IF(ISERROR(_xlfn.SINGLE(_xll.BDH(B94,"PX LAST",AN94,AN94,"DAYS=ALL","PRICING SOURCE",$C$6))*1),_xll.BDP(B94,"PAR AMT"),_xll.BDH(B94,"PX LAST",AN94,AN94,"DAYS=ALL","PRICING SOURCE",$C$6)))</f>
        <v>1000</v>
      </c>
      <c r="AF94" s="150" cm="1">
        <f t="array" ref="AF94">IF(B94="","",_xll.BDP($B94,AF$9,"fill=b"))</f>
        <v>3.6295306999999997</v>
      </c>
      <c r="AG94" s="150"/>
      <c r="AH94" s="190">
        <f>IF(B94="","",IF($AD94="AT MATURITY",$AB94*1,_xll.BADDPERIODS(_xll.BDP($B94,"issue dt"),"numberofperiods",TRUNC(_xll.BDP($B94,"YRS_TO_LONGEST_AVG_LIFE","YLD_YTM_BID",AF94,"SETTLE_DT",U94,AC94),0),"per=y")+(ROUND(MOD(_xll.BDP(B94,"YRS_TO_LONGEST_AVG_LIFE","YLD_YTM_BID",AF94,"SETTLE_DT",U94,AC94),1)*360,0))))</f>
        <v>43388</v>
      </c>
      <c r="AI94" s="150" t="e" cm="1">
        <f t="array" ref="AI94">IF(B94="","",AF94-_xll.BInterpol(_xll.BDP(_xll.BDS("YCGT0372 Index","curve members","CURVE_DATE", $U94,"endcol=1","array=true"),"maturity")*1,_xll.BDH(_xll.BDS("YCGT0372 Index","curve members","CURVE_DATE", $U94,"endcol=1","array=true"),"yld cnv mid",$U94,$U94,"days=all"),AH94,"CUBIC","Extrapolate=LINEAR","SKIP=TRUE","SORT=TRUE","MultiX=Average"))</f>
        <v>#VALUE!</v>
      </c>
      <c r="AJ94" s="189">
        <f t="shared" si="24"/>
        <v>0.94</v>
      </c>
      <c r="AK94" s="257" t="str" cm="1">
        <f t="array" ref="AK94">IF(B94="","",_xll.BDP($B94,AK$9,"fill=b"))</f>
        <v>340MM</v>
      </c>
      <c r="AL94" s="257" t="str" cm="1">
        <f t="array" ref="AL94">IF(B94="","",_xll.BDP($B94,AL$9,"fill=b"))</f>
        <v>0</v>
      </c>
      <c r="AM94" s="256" cm="1">
        <f t="array" ref="AM94">IF(B94="","",_xll.BDP($B94,AM$9,"fill=b"))</f>
        <v>1000</v>
      </c>
      <c r="AN94" s="150" t="str" cm="1">
        <f t="array" ref="AN94">IF(B94="","",_xll.BDP($B94,AN$9,"fill=b"))</f>
        <v>10/28/2013</v>
      </c>
      <c r="AO94" s="150" t="str" cm="1">
        <f t="array" ref="AO94">IF(B94="","",IF(LEFT(_xlfn.SINGLE(_xll.BDP($B94,AO$9,"fill=b")),1)="#","-",_xll.BDP($B94,AO$9,"fill=b")))</f>
        <v>JOINT LEADS</v>
      </c>
      <c r="AP94" s="150" t="str" cm="1">
        <f t="array" ref="AP94">IF(B94="","",_xll.BDP($B94,AP$9,"fill=b"))</f>
        <v>Energy</v>
      </c>
      <c r="AQ94" s="150" t="str" cm="1">
        <f t="array" ref="AQ94">IF(B94="","",_xll.BDP($B94,AQ$9,"fill=b"))</f>
        <v>Energy-Alternate Sources</v>
      </c>
      <c r="AR94" s="150" t="str" cm="1">
        <f t="array" ref="AR94">IF(B94="","",_xll.BDP($B94,AR$9,"fill=b"))</f>
        <v>NR</v>
      </c>
      <c r="AS94" s="150" t="str" cm="1">
        <f t="array" ref="AS94">IF(B94="","",_xll.BDP($B94,AS$9,"fill=b"))</f>
        <v>WR</v>
      </c>
      <c r="AT94" s="150" t="str" cm="1">
        <f t="array" ref="AT94">IF(B94="","",_xll.BDP($B94,AT$9,"fill=b"))</f>
        <v/>
      </c>
      <c r="AU94" s="258" t="str" cm="1">
        <f t="array" ref="AU94">IF(B94="","",_xll.BDP($B94,AU$9,"fill=b"))</f>
        <v>CPN = BZDIOVRA INDEX + 94 BPS.</v>
      </c>
    </row>
    <row r="95" spans="2:47" ht="15" x14ac:dyDescent="0.25">
      <c r="B95" s="232" t="s">
        <v>277</v>
      </c>
      <c r="C95" s="150" t="str" cm="1">
        <f t="array" ref="C95">IF(B95="","",_xll.BDP($B95,C$9,"fill=b"))</f>
        <v>RESA31</v>
      </c>
      <c r="D95" s="150" t="str" cm="1">
        <f t="array" ref="D95">IF(B95="","",_xll.BDP($B95,D$9,"fill=b"))</f>
        <v>RAIZBZ 6.38 10/15/20</v>
      </c>
      <c r="E95" s="150" t="str" cm="1">
        <f t="array" ref="E95">IF(B95="","",_xll.BDP($B95,E$9,"fill=b"))</f>
        <v>RAIZEN ENERGIA SA</v>
      </c>
      <c r="F95" s="150" t="str" cm="1">
        <f t="array" ref="F95">IF(B95="","",IF(LEFT(_xlfn.SINGLE(_xll.BDP($B95,F$9,"fill=b")),1)="#","-",_xll.BDP($B95,F$9,"fill=b")))</f>
        <v>RAIZ4 BZ</v>
      </c>
      <c r="G95" s="150" t="str" cm="1">
        <f t="array" ref="G95">IF(B95="","",_xll.BDP($B95,G$9,"fill=b"))</f>
        <v>BRAZIL IPCA+SPREAD</v>
      </c>
      <c r="H95" s="150" t="str" cm="1">
        <f t="array" ref="H95">IF(B95="","",_xll.BDP($B95,H$9,"fill=b"))</f>
        <v/>
      </c>
      <c r="I95" s="150" t="str" cm="1">
        <f t="array" ref="I95">IF(LEFT(_xlfn.SINGLE(_xll.BDP(B95,"REFERENCE_INDEX")),1)="#",IF(LEFT(_xlfn.SINGLE(_xll.BDP(B95, "RESET_IDX"))&amp;" Index",1)="#","",_xlfn.SINGLE(_xll.BDP(B95, "RESET_IDX"))&amp;" Index"),_xll.BDP(B95,"REFERENCE_INDEX"))</f>
        <v>BZCLVLUE Index</v>
      </c>
      <c r="J95" s="150" t="str">
        <f>IF(I95="BZDIOVRA Index",IF(_xll.BDP(B95,"FLT_SPREAD")/100=0,_xll.BDP(B95,"FLT_BENCH_MULTIPLIER"),_xll.BDP(B95,"FLT_SPREAD")/100),"")</f>
        <v/>
      </c>
      <c r="K95" s="150" t="str" cm="1">
        <f t="array" ref="K95">IF(B95="","",IF(LEFT(_xlfn.SINGLE(_xll.BDP($B95,K$9,"fill=b")),1)="#","-",_xll.BDP($B95,K$9,"fill=b")))</f>
        <v>-</v>
      </c>
      <c r="L95" s="233"/>
      <c r="M95" s="234" t="e">
        <f t="shared" si="25"/>
        <v>#VALUE!</v>
      </c>
      <c r="N95" s="252" t="e">
        <f>IF(B95="","",IF(R95="",IF(OR(AD95="SINKABLE",AD95="CALL/SINK"),_xll.BDP(B95,$N$9,$M$9,M95,"PRICING SOURCE",$C$6,"FILL=B"),_xll.BDP(B95,$N$9,$M$9,M95,"PRICING SOURCE",$C$6,"FILL=B")),IF(OR(AD95="SINKABLE",AD95="CALL/SINK"),_xll.BDP(B95,$N$9,$Q$10,S95,$M$9,M95,"PRICING SOURCE",$C$6,"FILL=B"),_xll.BDP(B95,$N$9,$Q$9,S95,$M$9,M95,"PRICING SOURCE",$C$6,"FILL=B"))))</f>
        <v>#VALUE!</v>
      </c>
      <c r="O95" s="235"/>
      <c r="P95" s="236" t="e">
        <f t="shared" si="26"/>
        <v>#VALUE!</v>
      </c>
      <c r="Q95" s="166" t="str">
        <f>IF(ISERROR((IF(OR(AD95="SINKABLE",AD95="CALL/SINK"),_xll.BDP($B95,$Q$10,"fill=b","PRICING_SOURCE",$C$6,$AC95,$N$9,$P95,$M$9,$M95),_xll.BDP($B95,Q$9,"fill=b","PRICING_SOURCE",$C$6,$AC95,$N$9,$P95,$M$9,$M95)))*1),"",IF(OR(AD95="SINKABLE",AD95="CALL/SINK"),_xll.BDP($B95,$Q$10,"fill=b","PRICING_SOURCE",$C$6,$AC95,$N$9,$P95,$M$9,$M95),_xll.BDP($B95,Q$9,"fill=b","PRICING_SOURCE",$C$6,$AC95,$N$9,$P95,$M$9,$M95)))</f>
        <v/>
      </c>
      <c r="R95" s="237"/>
      <c r="S95" s="238" t="str">
        <f t="shared" si="27"/>
        <v/>
      </c>
      <c r="T95" s="239" cm="1">
        <f t="array" ref="T95">IF(ISERROR((_xlfn.SINGLE(IF(OR(AD95="SINKABLE",AD95="CALL/SINK"),_xll.BDP($B95,$Q$10,"fill=b","PRICING_SOURCE",$C$6,$AC95,$M$9,$U95,"px ask",$AE95),_xll.BDP($B95,Q$9,"fill=b","PRICING_SOURCE",$C$6,$AC95,$M$9,$U95,"px ask",$AE95))))*1),"",IF(OR(AD95="SINKABLE",AD95="CALL/SINK"),_xll.BDP($B95,$Q$10,"fill=b","PRICING_SOURCE",$C$6,$AC95,$M$9,$U95,"px ask",$AE95),_xll.BDP($B95,Q$9,"fill=b","PRICING_SOURCE",$C$6,$AC95,$M$9,$U95,"px ask",$AE95)))</f>
        <v>82.268153109814932</v>
      </c>
      <c r="U95" s="240" t="str">
        <f t="shared" si="22"/>
        <v>20131029</v>
      </c>
      <c r="V95" s="254" t="e" cm="1">
        <f t="array" ref="V95">IF(B95="","",IF(I95="BZDIOVRA Index",IF(OR(AD95="SINKABLE",AD95="CALL/SINK"),_xll.BDP($B95,"PX_ASK",$Q$10,J95,$M$9,M95),_xll.BDP($B95,"PX_"&amp;$H$7,$Q$9,J95,$M$9,M95)),_xll.BDP($B95,"PX_"&amp;$H$7,$Q$9,_xll.BDP(B95,"CPN"),$M$9,M95)))</f>
        <v>#VALUE!</v>
      </c>
      <c r="W95" s="254" t="str">
        <f t="shared" si="23"/>
        <v/>
      </c>
      <c r="X95" s="166" t="e">
        <f>IF(B95="","",IF(OR(AD95="SINKABLE",AD95="CALL/SINK"),_xll.BDP($B95,X$9,"fill=b","PRICING_SOURCE",$C$6,$AC95,$M$9,$M95,$N$9,$P95,$Q$10,$S95),_xll.BDP($B95,X$9,"fill=b","PRICING_SOURCE",$C$6,$AC95,$M$9,$M95,$N$9,$P95,$Q$9,$S95)))</f>
        <v>#VALUE!</v>
      </c>
      <c r="Y95" s="166" t="e">
        <f>IF(B95="","",IF(OR(AD95="SINKABLE",AD95="CALL/SINK"),_xll.BDP($B95,Y$9,"fill=b","PRICING_SOURCE",$C$6,$AC95,$M$9,$M95,$N$9,$P95,$Q$10,$S95),_xll.BDP($B95,Y$9,"fill=b","PRICING_SOURCE",$C$6,$AC95,$M$9,$M95,$N$9,$P95,$Q$9,$S95)))</f>
        <v>#VALUE!</v>
      </c>
      <c r="Z95" s="255" t="e">
        <f>IF(B95="","",IF(OR(AD95="SINKABLE",AD95="CALL/SINK"),_xll.BDP($B95,Z$9,"fill=b","PRICING_SOURCE",$C$6,$AC95,$M$9,$M95,$N$9,$P95,$Q$10,$S95),_xll.BDP($B95,Z$9,"fill=b","PRICING_SOURCE",$C$6,$AC95,$M$9,$M95,$N$9,$P95,$Q$9,$S95)))</f>
        <v>#VALUE!</v>
      </c>
      <c r="AA95" s="166" t="e">
        <f>IF(B95="","",IF(OR(AD95="SINKABLE",AD95="CALL/SINK"),_xll.BDP($B95,AA$9,"fill=b","PRICING_SOURCE",$C$6,$AC95,$M$9,$M95,$N$9,$P95,$Q$10,$S95),_xll.BDP($B95,AA$9,"fill=b","PRICING_SOURCE",$C$6,$AC95,$M$9,$M95,$N$9,$P95,$Q$9,$S95)))</f>
        <v>#VALUE!</v>
      </c>
      <c r="AB95" s="150" t="str" cm="1">
        <f t="array" ref="AB95">IF(B95="","",IF(LEFT(_xlfn.SINGLE(_xll.BDP($B95,AB$9,"fill=b")),1)="#","-",_xll.BDP($B95,AB$9,"fill=b")))</f>
        <v>10/15/2020</v>
      </c>
      <c r="AC95" s="150" t="str">
        <f t="shared" si="28"/>
        <v>YLD FLAG=28</v>
      </c>
      <c r="AD95" s="150" t="str" cm="1">
        <f t="array" ref="AD95">IF(B95="","",_xll.BDP($B95,AD$9,"fill=b"))</f>
        <v>SINKABLE</v>
      </c>
      <c r="AE95" s="256" cm="1">
        <f t="array" ref="AE95">IF(B95="","",IF(ISERROR(_xlfn.SINGLE(_xll.BDH(B95,"PX LAST",AN95,AN95,"DAYS=ALL","PRICING SOURCE",$C$6))*1),_xll.BDP(B95,"PAR AMT"),_xll.BDH(B95,"PX LAST",AN95,AN95,"DAYS=ALL","PRICING SOURCE",$C$6)))</f>
        <v>500</v>
      </c>
      <c r="AF95" s="150" cm="1">
        <f t="array" ref="AF95">IF(B95="","",_xll.BDP($B95,AF$9,"fill=b"))</f>
        <v>6.38</v>
      </c>
      <c r="AG95" s="150"/>
      <c r="AH95" s="190">
        <f>IF(B95="","",IF($AD95="AT MATURITY",$AB95*1,_xll.BADDPERIODS(_xll.BDP($B95,"issue dt"),"numberofperiods",TRUNC(_xll.BDP($B95,"YRS_TO_LONGEST_AVG_LIFE","YLD_YTM_BID",AF95,"SETTLE_DT",U95,AC95),0),"per=y")+(ROUND(MOD(_xll.BDP(B95,"YRS_TO_LONGEST_AVG_LIFE","YLD_YTM_BID",AF95,"SETTLE_DT",U95,AC95),1)*360,0))))</f>
        <v>65248</v>
      </c>
      <c r="AI95" s="150" t="e" cm="1">
        <f t="array" ref="AI95">IF(B95="","",AF95-_xll.BInterpol(_xll.BDP(_xll.BDS("YCGT0372 Index","curve members","CURVE_DATE", $U95,"endcol=1","array=true"),"maturity")*1,_xll.BDH(_xll.BDS("YCGT0372 Index","curve members","CURVE_DATE", $U95,"endcol=1","array=true"),"yld cnv mid",$U95,$U95,"days=all"),AH95,"CUBIC","Extrapolate=LINEAR","SKIP=TRUE","SORT=TRUE","MultiX=Average"))</f>
        <v>#VALUE!</v>
      </c>
      <c r="AJ95" s="189" t="str">
        <f t="shared" si="24"/>
        <v/>
      </c>
      <c r="AK95" s="257" t="str" cm="1">
        <f t="array" ref="AK95">IF(B95="","",_xll.BDP($B95,AK$9,"fill=b"))</f>
        <v>304.025MM</v>
      </c>
      <c r="AL95" s="257" t="str" cm="1">
        <f t="array" ref="AL95">IF(B95="","",_xll.BDP($B95,AL$9,"fill=b"))</f>
        <v>0</v>
      </c>
      <c r="AM95" s="256" cm="1">
        <f t="array" ref="AM95">IF(B95="","",_xll.BDP($B95,AM$9,"fill=b"))</f>
        <v>500</v>
      </c>
      <c r="AN95" s="150" t="str" cm="1">
        <f t="array" ref="AN95">IF(B95="","",_xll.BDP($B95,AN$9,"fill=b"))</f>
        <v>10/29/2013</v>
      </c>
      <c r="AO95" s="150" t="str" cm="1">
        <f t="array" ref="AO95">IF(B95="","",IF(LEFT(_xlfn.SINGLE(_xll.BDP($B95,AO$9,"fill=b")),1)="#","-",_xll.BDP($B95,AO$9,"fill=b")))</f>
        <v>JOINT LEADS</v>
      </c>
      <c r="AP95" s="150" t="str" cm="1">
        <f t="array" ref="AP95">IF(B95="","",_xll.BDP($B95,AP$9,"fill=b"))</f>
        <v>Energy</v>
      </c>
      <c r="AQ95" s="150" t="str" cm="1">
        <f t="array" ref="AQ95">IF(B95="","",_xll.BDP($B95,AQ$9,"fill=b"))</f>
        <v>Energy-Alternate Sources</v>
      </c>
      <c r="AR95" s="150" t="str" cm="1">
        <f t="array" ref="AR95">IF(B95="","",_xll.BDP($B95,AR$9,"fill=b"))</f>
        <v>NR</v>
      </c>
      <c r="AS95" s="150" t="str" cm="1">
        <f t="array" ref="AS95">IF(B95="","",_xll.BDP($B95,AS$9,"fill=b"))</f>
        <v>WR</v>
      </c>
      <c r="AT95" s="150" t="str" cm="1">
        <f t="array" ref="AT95">IF(B95="","",_xll.BDP($B95,AT$9,"fill=b"))</f>
        <v/>
      </c>
      <c r="AU95" s="258" t="str" cm="1">
        <f t="array" ref="AU95">IF(B95="","",_xll.BDP($B95,AU$9,"fill=b"))</f>
        <v>CPN = BZCLVLUE INDEX + 638 BPS. ISSUED UNDER  LAW 12.431.</v>
      </c>
    </row>
    <row r="96" spans="2:47" ht="15" x14ac:dyDescent="0.25">
      <c r="B96" s="232" t="s">
        <v>266</v>
      </c>
      <c r="C96" s="150" t="str" cm="1">
        <f t="array" ref="C96">IF(B96="","",_xll.BDP($B96,C$9,"fill=b"))</f>
        <v>ODTR11</v>
      </c>
      <c r="D96" s="150" t="str" cm="1">
        <f t="array" ref="D96">IF(B96="","",_xll.BDP($B96,D$9,"fill=b"))</f>
        <v>CRDBBR 6.7 10/15/25</v>
      </c>
      <c r="E96" s="150" t="str" cm="1">
        <f t="array" ref="E96">IF(B96="","",_xll.BDP($B96,E$9,"fill=b"))</f>
        <v>ROTA DAS BANDEIRAS</v>
      </c>
      <c r="F96" s="150" t="str" cm="1">
        <f t="array" ref="F96">IF(B96="","",IF(LEFT(_xlfn.SINGLE(_xll.BDP($B96,F$9,"fill=b")),1)="#","-",_xll.BDP($B96,F$9,"fill=b")))</f>
        <v>1786102D BZ</v>
      </c>
      <c r="G96" s="150" t="str" cm="1">
        <f t="array" ref="G96">IF(B96="","",_xll.BDP($B96,G$9,"fill=b"))</f>
        <v>BRAZIL IPCA+SPREAD</v>
      </c>
      <c r="H96" s="150" t="str" cm="1">
        <f t="array" ref="H96">IF(B96="","",_xll.BDP($B96,H$9,"fill=b"))</f>
        <v/>
      </c>
      <c r="I96" s="150" t="str" cm="1">
        <f t="array" ref="I96">IF(LEFT(_xlfn.SINGLE(_xll.BDP(B96,"REFERENCE_INDEX")),1)="#",IF(LEFT(_xlfn.SINGLE(_xll.BDP(B96, "RESET_IDX"))&amp;" Index",1)="#","",_xlfn.SINGLE(_xll.BDP(B96, "RESET_IDX"))&amp;" Index"),_xll.BDP(B96,"REFERENCE_INDEX"))</f>
        <v>BZCLVLUE Index</v>
      </c>
      <c r="J96" s="150" t="str">
        <f>IF(I96="BZDIOVRA Index",IF(_xll.BDP(B96,"FLT_SPREAD")/100=0,_xll.BDP(B96,"FLT_BENCH_MULTIPLIER"),_xll.BDP(B96,"FLT_SPREAD")/100),"")</f>
        <v/>
      </c>
      <c r="K96" s="150" t="str" cm="1">
        <f t="array" ref="K96">IF(B96="","",IF(LEFT(_xlfn.SINGLE(_xll.BDP($B96,K$9,"fill=b")),1)="#","-",_xll.BDP($B96,K$9,"fill=b")))</f>
        <v>6/23/2025</v>
      </c>
      <c r="L96" s="233"/>
      <c r="M96" s="234" t="str">
        <f t="shared" si="25"/>
        <v>20250623</v>
      </c>
      <c r="N96" s="252" cm="1">
        <f t="array" ref="N96">IF(B96="","",IF(R96="",IF(OR(AD96="SINKABLE",AD96="CALL/SINK"),_xll.BDP(B96,$N$9,$M$9,M96,"PRICING SOURCE",$C$6,"FILL=B"),_xll.BDP(B96,$N$9,$M$9,M96,"PRICING SOURCE",$C$6,"FILL=B")),IF(OR(AD96="SINKABLE",AD96="CALL/SINK"),_xll.BDP(B96,$N$9,$Q$10,S96,$M$9,M96,"PRICING SOURCE",$C$6,"FILL=B"),_xll.BDP(B96,$N$9,$Q$9,S96,$M$9,M96,"PRICING SOURCE",$C$6,"FILL=B"))))</f>
        <v>20019.146296999999</v>
      </c>
      <c r="O96" s="235"/>
      <c r="P96" s="236">
        <f t="shared" si="26"/>
        <v>20019.146296999999</v>
      </c>
      <c r="Q96" s="166" cm="1">
        <f t="array" ref="Q96">IF(ISERROR((_xlfn.SINGLE(IF(OR(AD96="SINKABLE",AD96="CALL/SINK"),_xll.BDP($B96,$Q$10,"fill=b","PRICING_SOURCE",$C$6,$AC96,$N$9,$P96,$M$9,$M96),_xll.BDP($B96,Q$9,"fill=b","PRICING_SOURCE",$C$6,$AC96,$N$9,$P96,$M$9,$M96))))*1),"",IF(OR(AD96="SINKABLE",AD96="CALL/SINK"),_xll.BDP($B96,$Q$10,"fill=b","PRICING_SOURCE",$C$6,$AC96,$N$9,$P96,$M$9,$M96),_xll.BDP($B96,Q$9,"fill=b","PRICING_SOURCE",$C$6,$AC96,$N$9,$P96,$M$9,$M96)))</f>
        <v>11.017200005582769</v>
      </c>
      <c r="R96" s="237"/>
      <c r="S96" s="238">
        <f t="shared" si="27"/>
        <v>11.017200005582769</v>
      </c>
      <c r="T96" s="239" cm="1">
        <f t="array" ref="T96">IF(ISERROR((_xlfn.SINGLE(IF(OR(AD96="SINKABLE",AD96="CALL/SINK"),_xll.BDP($B96,$Q$10,"fill=b","PRICING_SOURCE",$C$6,$AC96,$M$9,$U96,"px ask",$AE96),_xll.BDP($B96,Q$9,"fill=b","PRICING_SOURCE",$C$6,$AC96,$M$9,$U96,"px ask",$AE96))))*1),"",IF(OR(AD96="SINKABLE",AD96="CALL/SINK"),_xll.BDP($B96,$Q$10,"fill=b","PRICING_SOURCE",$C$6,$AC96,$M$9,$U96,"px ask",$AE96),_xll.BDP($B96,Q$9,"fill=b","PRICING_SOURCE",$C$6,$AC96,$M$9,$U96,"px ask",$AE96)))</f>
        <v>-1.1384340590281743</v>
      </c>
      <c r="U96" s="240" t="str">
        <f t="shared" si="22"/>
        <v>20131114</v>
      </c>
      <c r="V96" s="254" cm="1">
        <f t="array" ref="V96">IF(B96="","",IF(I96="BZDIOVRA Index",IF(OR(AD96="SINKABLE",AD96="CALL/SINK"),_xll.BDP($B96,"PX_ASK",$Q$10,J96,$M$9,M96),_xll.BDP($B96,"PX_"&amp;$H$7,$Q$9,J96,$M$9,M96)),_xll.BDP($B96,"PX_"&amp;$H$7,$Q$9,_xll.BDP(B96,"CPN"),$M$9,M96)))</f>
        <v>20279.198689000001</v>
      </c>
      <c r="W96" s="254">
        <f t="shared" si="23"/>
        <v>98.717639705650399</v>
      </c>
      <c r="X96" s="166" cm="1">
        <f t="array" ref="X96">IF(B96="","",IF(OR(AD96="SINKABLE",AD96="CALL/SINK"),_xll.BDP($B96,X$9,"fill=b","PRICING_SOURCE",$C$6,$AC96,$M$9,$M96,$N$9,$P96,$Q$10,$S96),_xll.BDP($B96,X$9,"fill=b","PRICING_SOURCE",$C$6,$AC96,$M$9,$M96,$N$9,$P96,$Q$9,$S96)))</f>
        <v>0.32539658279855821</v>
      </c>
      <c r="Y96" s="166" cm="1">
        <f t="array" ref="Y96">IF(B96="","",IF(OR(AD96="SINKABLE",AD96="CALL/SINK"),_xll.BDP($B96,Y$9,"fill=b","PRICING_SOURCE",$C$6,$AC96,$M$9,$M96,$N$9,$P96,$Q$10,$S96),_xll.BDP($B96,Y$9,"fill=b","PRICING_SOURCE",$C$6,$AC96,$M$9,$M96,$N$9,$P96,$Q$9,$S96)))</f>
        <v>0.29310465655969975</v>
      </c>
      <c r="Z96" s="255" cm="1">
        <f t="array" ref="Z96">IF(B96="","",IF(OR(AD96="SINKABLE",AD96="CALL/SINK"),_xll.BDP($B96,Z$9,"fill=b","PRICING_SOURCE",$C$6,$AC96,$M$9,$M96,$N$9,$P96,$Q$10,$S96),_xll.BDP($B96,Z$9,"fill=b","PRICING_SOURCE",$C$6,$AC96,$M$9,$M96,$N$9,$P96,$Q$9,$S96)))</f>
        <v>3.4467004989835364E-3</v>
      </c>
      <c r="AA96" s="166" cm="1">
        <f t="array" ref="AA96">IF(B96="","",IF(OR(AD96="SINKABLE",AD96="CALL/SINK"),_xll.BDP($B96,AA$9,"fill=b","PRICING_SOURCE",$C$6,$AC96,$M$9,$M96,$N$9,$P96,$Q$10,$S96),_xll.BDP($B96,AA$9,"fill=b","PRICING_SOURCE",$C$6,$AC96,$M$9,$M96,$N$9,$P96,$Q$9,$S96)))</f>
        <v>58.677050000005693</v>
      </c>
      <c r="AB96" s="150" t="str" cm="1">
        <f t="array" ref="AB96">IF(B96="","",IF(LEFT(_xlfn.SINGLE(_xll.BDP($B96,AB$9,"fill=b")),1)="#","-",_xll.BDP($B96,AB$9,"fill=b")))</f>
        <v>10/15/2025</v>
      </c>
      <c r="AC96" s="150" t="str">
        <f t="shared" si="28"/>
        <v>YLD FLAG=1</v>
      </c>
      <c r="AD96" s="150" t="str" cm="1">
        <f t="array" ref="AD96">IF(B96="","",_xll.BDP($B96,AD$9,"fill=b"))</f>
        <v>AT MATURITY</v>
      </c>
      <c r="AE96" s="256" cm="1">
        <f t="array" ref="AE96">IF(B96="","",IF(ISERROR(_xlfn.SINGLE(_xll.BDH(B96,"PX LAST",AN96,AN96,"DAYS=ALL","PRICING SOURCE",$C$6))*1),_xll.BDP(B96,"PAR AMT"),_xll.BDH(B96,"PX LAST",AN96,AN96,"DAYS=ALL","PRICING SOURCE",$C$6)))</f>
        <v>10000</v>
      </c>
      <c r="AF96" s="150" cm="1">
        <f t="array" ref="AF96">IF(B96="","",_xll.BDP($B96,AF$9,"fill=b"))</f>
        <v>6.7</v>
      </c>
      <c r="AG96" s="150"/>
      <c r="AH96" s="190">
        <f>IF(B96="","",IF($AD96="AT MATURITY",$AB96*1,_xll.BADDPERIODS(_xll.BDP($B96,"issue dt"),"numberofperiods",TRUNC(_xll.BDP($B96,"YRS_TO_LONGEST_AVG_LIFE","YLD_YTM_BID",AF96,"SETTLE_DT",U96,AC96),0),"per=y")+(ROUND(MOD(_xll.BDP(B96,"YRS_TO_LONGEST_AVG_LIFE","YLD_YTM_BID",AF96,"SETTLE_DT",U96,AC96),1)*360,0))))</f>
        <v>45945</v>
      </c>
      <c r="AI96" s="150" t="e" cm="1">
        <f t="array" ref="AI96">IF(B96="","",AF96-_xll.BInterpol(_xll.BDP(_xll.BDS("YCGT0372 Index","curve members","CURVE_DATE", $U96,"endcol=1","array=true"),"maturity")*1,_xll.BDH(_xll.BDS("YCGT0372 Index","curve members","CURVE_DATE", $U96,"endcol=1","array=true"),"yld cnv mid",$U96,$U96,"days=all"),AH96,"CUBIC","Extrapolate=LINEAR","SKIP=TRUE","SORT=TRUE","MultiX=Average"))</f>
        <v>#VALUE!</v>
      </c>
      <c r="AJ96" s="189" t="str">
        <f t="shared" si="24"/>
        <v/>
      </c>
      <c r="AK96" s="257" t="str" cm="1">
        <f t="array" ref="AK96">IF(B96="","",_xll.BDP($B96,AK$9,"fill=b"))</f>
        <v>300MM</v>
      </c>
      <c r="AL96" s="257" t="str" cm="1">
        <f t="array" ref="AL96">IF(B96="","",_xll.BDP($B96,AL$9,"fill=b"))</f>
        <v>300MM</v>
      </c>
      <c r="AM96" s="256" cm="1">
        <f t="array" ref="AM96">IF(B96="","",_xll.BDP($B96,AM$9,"fill=b"))</f>
        <v>10000</v>
      </c>
      <c r="AN96" s="150" t="str" cm="1">
        <f t="array" ref="AN96">IF(B96="","",_xll.BDP($B96,AN$9,"fill=b"))</f>
        <v>11/14/2013</v>
      </c>
      <c r="AO96" s="150" t="str" cm="1">
        <f t="array" ref="AO96">IF(B96="","",IF(LEFT(_xlfn.SINGLE(_xll.BDP($B96,AO$9,"fill=b")),1)="#","-",_xll.BDP($B96,AO$9,"fill=b")))</f>
        <v>ITABBA</v>
      </c>
      <c r="AP96" s="150" t="str" cm="1">
        <f t="array" ref="AP96">IF(B96="","",_xll.BDP($B96,AP$9,"fill=b"))</f>
        <v>Industrial</v>
      </c>
      <c r="AQ96" s="150" t="str" cm="1">
        <f t="array" ref="AQ96">IF(B96="","",_xll.BDP($B96,AQ$9,"fill=b"))</f>
        <v>Transportation</v>
      </c>
      <c r="AR96" s="150" t="str" cm="1">
        <f t="array" ref="AR96">IF(B96="","",_xll.BDP($B96,AR$9,"fill=b"))</f>
        <v/>
      </c>
      <c r="AS96" s="150" t="str" cm="1">
        <f t="array" ref="AS96">IF(B96="","",_xll.BDP($B96,AS$9,"fill=b"))</f>
        <v>WR</v>
      </c>
      <c r="AT96" s="150" t="str" cm="1">
        <f t="array" ref="AT96">IF(B96="","",_xll.BDP($B96,AT$9,"fill=b"))</f>
        <v>AAA(bra)</v>
      </c>
      <c r="AU96" s="258" t="str" cm="1">
        <f t="array" ref="AU96">IF(B96="","",_xll.BDP($B96,AU$9,"fill=b"))</f>
        <v>CPN = BZCLVLUE INDEX + 670BPS. ISSUED UNDER ICVM 476. LAW 12.431.</v>
      </c>
    </row>
    <row r="97" spans="2:47" ht="15" x14ac:dyDescent="0.25">
      <c r="B97" s="232" t="s">
        <v>276</v>
      </c>
      <c r="C97" s="150" t="str" cm="1">
        <f t="array" ref="C97">IF(B97="","",_xll.BDP($B97,C$9,"fill=b"))</f>
        <v>TEPE11</v>
      </c>
      <c r="D97" s="150" t="str" cm="1">
        <f t="array" ref="D97">IF(B97="","",_xll.BDP($B97,D$9,"fill=b"))</f>
        <v>TERPBZ 9.11 11/15/25</v>
      </c>
      <c r="E97" s="150" t="str" cm="1">
        <f t="array" ref="E97">IF(B97="","",_xll.BDP($B97,E$9,"fill=b"))</f>
        <v>TERMELETRICA PERNAMBUCO</v>
      </c>
      <c r="F97" s="150" t="str" cm="1">
        <f t="array" ref="F97">IF(B97="","",IF(LEFT(_xlfn.SINGLE(_xll.BDP($B97,F$9,"fill=b")),1)="#","-",_xll.BDP($B97,F$9,"fill=b")))</f>
        <v>0237680D BZ</v>
      </c>
      <c r="G97" s="150" t="str" cm="1">
        <f t="array" ref="G97">IF(B97="","",_xll.BDP($B97,G$9,"fill=b"))</f>
        <v>BRAZIL IPCA+SPREAD</v>
      </c>
      <c r="H97" s="150" t="str" cm="1">
        <f t="array" ref="H97">IF(B97="","",_xll.BDP($B97,H$9,"fill=b"))</f>
        <v/>
      </c>
      <c r="I97" s="150" t="str" cm="1">
        <f t="array" ref="I97">IF(LEFT(_xlfn.SINGLE(_xll.BDP(B97,"REFERENCE_INDEX")),1)="#",IF(LEFT(_xlfn.SINGLE(_xll.BDP(B97, "RESET_IDX"))&amp;" Index",1)="#","",_xlfn.SINGLE(_xll.BDP(B97, "RESET_IDX"))&amp;" Index"),_xll.BDP(B97,"REFERENCE_INDEX"))</f>
        <v>BZCLVLUE Index</v>
      </c>
      <c r="J97" s="150" t="str">
        <f>IF(I97="BZDIOVRA Index",IF(_xll.BDP(B97,"FLT_SPREAD")/100=0,_xll.BDP(B97,"FLT_BENCH_MULTIPLIER"),_xll.BDP(B97,"FLT_SPREAD")/100),"")</f>
        <v/>
      </c>
      <c r="K97" s="150" t="str" cm="1">
        <f t="array" ref="K97">IF(B97="","",IF(LEFT(_xlfn.SINGLE(_xll.BDP($B97,K$9,"fill=b")),1)="#","-",_xll.BDP($B97,K$9,"fill=b")))</f>
        <v>-</v>
      </c>
      <c r="L97" s="233"/>
      <c r="M97" s="234" t="e">
        <f t="shared" si="25"/>
        <v>#VALUE!</v>
      </c>
      <c r="N97" s="252" t="e">
        <f>IF(B97="","",IF(R97="",IF(OR(AD97="SINKABLE",AD97="CALL/SINK"),_xll.BDP(B97,$N$9,$M$9,M97,"PRICING SOURCE",$C$6,"FILL=B"),_xll.BDP(B97,$N$9,$M$9,M97,"PRICING SOURCE",$C$6,"FILL=B")),IF(OR(AD97="SINKABLE",AD97="CALL/SINK"),_xll.BDP(B97,$N$9,$Q$10,S97,$M$9,M97,"PRICING SOURCE",$C$6,"FILL=B"),_xll.BDP(B97,$N$9,$Q$9,S97,$M$9,M97,"PRICING SOURCE",$C$6,"FILL=B"))))</f>
        <v>#VALUE!</v>
      </c>
      <c r="O97" s="235"/>
      <c r="P97" s="236" t="e">
        <f t="shared" si="26"/>
        <v>#VALUE!</v>
      </c>
      <c r="Q97" s="166" t="str">
        <f>IF(ISERROR((IF(OR(AD97="SINKABLE",AD97="CALL/SINK"),_xll.BDP($B97,$Q$10,"fill=b","PRICING_SOURCE",$C$6,$AC97,$N$9,$P97,$M$9,$M97),_xll.BDP($B97,Q$9,"fill=b","PRICING_SOURCE",$C$6,$AC97,$N$9,$P97,$M$9,$M97)))*1),"",IF(OR(AD97="SINKABLE",AD97="CALL/SINK"),_xll.BDP($B97,$Q$10,"fill=b","PRICING_SOURCE",$C$6,$AC97,$N$9,$P97,$M$9,$M97),_xll.BDP($B97,Q$9,"fill=b","PRICING_SOURCE",$C$6,$AC97,$N$9,$P97,$M$9,$M97)))</f>
        <v/>
      </c>
      <c r="R97" s="237"/>
      <c r="S97" s="238" t="str">
        <f t="shared" si="27"/>
        <v/>
      </c>
      <c r="T97" s="239" cm="1">
        <f t="array" ref="T97">IF(ISERROR((_xlfn.SINGLE(IF(OR(AD97="SINKABLE",AD97="CALL/SINK"),_xll.BDP($B97,$Q$10,"fill=b","PRICING_SOURCE",$C$6,$AC97,$M$9,$U97,"px ask",$AE97),_xll.BDP($B97,Q$9,"fill=b","PRICING_SOURCE",$C$6,$AC97,$M$9,$U97,"px ask",$AE97))))*1),"",IF(OR(AD97="SINKABLE",AD97="CALL/SINK"),_xll.BDP($B97,$Q$10,"fill=b","PRICING_SOURCE",$C$6,$AC97,$M$9,$U97,"px ask",$AE97),_xll.BDP($B97,Q$9,"fill=b","PRICING_SOURCE",$C$6,$AC97,$M$9,$U97,"px ask",$AE97)))</f>
        <v>349.63818715716883</v>
      </c>
      <c r="U97" s="240" t="str">
        <f t="shared" si="22"/>
        <v>20131220</v>
      </c>
      <c r="V97" s="254" t="e" cm="1">
        <f t="array" ref="V97">IF(B97="","",IF(I97="BZDIOVRA Index",IF(OR(AD97="SINKABLE",AD97="CALL/SINK"),_xll.BDP($B97,"PX_ASK",$Q$10,J97,$M$9,M97),_xll.BDP($B97,"PX_"&amp;$H$7,$Q$9,J97,$M$9,M97)),_xll.BDP($B97,"PX_"&amp;$H$7,$Q$9,_xll.BDP(B97,"CPN"),$M$9,M97)))</f>
        <v>#VALUE!</v>
      </c>
      <c r="W97" s="254" t="str">
        <f t="shared" si="23"/>
        <v/>
      </c>
      <c r="X97" s="166" t="e">
        <f>IF(B97="","",IF(OR(AD97="SINKABLE",AD97="CALL/SINK"),_xll.BDP($B97,X$9,"fill=b","PRICING_SOURCE",$C$6,$AC97,$M$9,$M97,$N$9,$P97,$Q$10,$S97),_xll.BDP($B97,X$9,"fill=b","PRICING_SOURCE",$C$6,$AC97,$M$9,$M97,$N$9,$P97,$Q$9,$S97)))</f>
        <v>#VALUE!</v>
      </c>
      <c r="Y97" s="166" t="e">
        <f>IF(B97="","",IF(OR(AD97="SINKABLE",AD97="CALL/SINK"),_xll.BDP($B97,Y$9,"fill=b","PRICING_SOURCE",$C$6,$AC97,$M$9,$M97,$N$9,$P97,$Q$10,$S97),_xll.BDP($B97,Y$9,"fill=b","PRICING_SOURCE",$C$6,$AC97,$M$9,$M97,$N$9,$P97,$Q$9,$S97)))</f>
        <v>#VALUE!</v>
      </c>
      <c r="Z97" s="255" t="e">
        <f>IF(B97="","",IF(OR(AD97="SINKABLE",AD97="CALL/SINK"),_xll.BDP($B97,Z$9,"fill=b","PRICING_SOURCE",$C$6,$AC97,$M$9,$M97,$N$9,$P97,$Q$10,$S97),_xll.BDP($B97,Z$9,"fill=b","PRICING_SOURCE",$C$6,$AC97,$M$9,$M97,$N$9,$P97,$Q$9,$S97)))</f>
        <v>#VALUE!</v>
      </c>
      <c r="AA97" s="166" t="e">
        <f>IF(B97="","",IF(OR(AD97="SINKABLE",AD97="CALL/SINK"),_xll.BDP($B97,AA$9,"fill=b","PRICING_SOURCE",$C$6,$AC97,$M$9,$M97,$N$9,$P97,$Q$10,$S97),_xll.BDP($B97,AA$9,"fill=b","PRICING_SOURCE",$C$6,$AC97,$M$9,$M97,$N$9,$P97,$Q$9,$S97)))</f>
        <v>#VALUE!</v>
      </c>
      <c r="AB97" s="150" t="str" cm="1">
        <f t="array" ref="AB97">IF(B97="","",IF(LEFT(_xlfn.SINGLE(_xll.BDP($B97,AB$9,"fill=b")),1)="#","-",_xll.BDP($B97,AB$9,"fill=b")))</f>
        <v>11/15/2025</v>
      </c>
      <c r="AC97" s="150" t="str">
        <f t="shared" si="28"/>
        <v>YLD FLAG=28</v>
      </c>
      <c r="AD97" s="150" t="str" cm="1">
        <f t="array" ref="AD97">IF(B97="","",_xll.BDP($B97,AD$9,"fill=b"))</f>
        <v>SINKABLE</v>
      </c>
      <c r="AE97" s="256" cm="1">
        <f t="array" ref="AE97">IF(B97="","",IF(ISERROR(_xlfn.SINGLE(_xll.BDH(B97,"PX LAST",AN97,AN97,"DAYS=ALL","PRICING SOURCE",$C$6))*1),_xll.BDP(B97,"PAR AMT"),_xll.BDH(B97,"PX LAST",AN97,AN97,"DAYS=ALL","PRICING SOURCE",$C$6)))</f>
        <v>590</v>
      </c>
      <c r="AF97" s="150" cm="1">
        <f t="array" ref="AF97">IF(B97="","",_xll.BDP($B97,AF$9,"fill=b"))</f>
        <v>9.11</v>
      </c>
      <c r="AG97" s="150"/>
      <c r="AH97" s="190">
        <f>IF(B97="","",IF($AD97="AT MATURITY",$AB97*1,_xll.BADDPERIODS(_xll.BDP($B97,"issue dt"),"numberofperiods",TRUNC(_xll.BDP($B97,"YRS_TO_LONGEST_AVG_LIFE","YLD_YTM_BID",AF97,"SETTLE_DT",U97,AC97),0),"per=y")+(ROUND(MOD(_xll.BDP(B97,"YRS_TO_LONGEST_AVG_LIFE","YLD_YTM_BID",AF97,"SETTLE_DT",U97,AC97),1)*360,0))))</f>
        <v>62267</v>
      </c>
      <c r="AI97" s="150" t="e">
        <f t="array" ref="AI97">IF(B97="","",AF97-_xll.BInterpol(_xll.BDP(_xll.BDS("YCGT0372 Index","curve members","CURVE_DATE", $U97,"endcol=1","array=true"),"maturity")*1,_xll.BDH(_xll.BDS("YCGT0372 Index","curve members","CURVE_DATE", $U97,"endcol=1","array=true"),"yld cnv mid",$U97,$U97,"days=all"),AH97,"CUBIC","Extrapolate=LINEAR","SKIP=TRUE","SORT=TRUE","MultiX=Average"))</f>
        <v>#VALUE!</v>
      </c>
      <c r="AJ97" s="189" t="str">
        <f t="shared" si="24"/>
        <v/>
      </c>
      <c r="AK97" s="257" t="str" cm="1">
        <f t="array" ref="AK97">IF(B97="","",_xll.BDP($B97,AK$9,"fill=b"))</f>
        <v>75MM</v>
      </c>
      <c r="AL97" s="257" t="str" cm="1">
        <f t="array" ref="AL97">IF(B97="","",_xll.BDP($B97,AL$9,"fill=b"))</f>
        <v>0</v>
      </c>
      <c r="AM97" s="256" cm="1">
        <f t="array" ref="AM97">IF(B97="","",_xll.BDP($B97,AM$9,"fill=b"))</f>
        <v>590</v>
      </c>
      <c r="AN97" s="150" t="str" cm="1">
        <f t="array" ref="AN97">IF(B97="","",_xll.BDP($B97,AN$9,"fill=b"))</f>
        <v>12/20/2013</v>
      </c>
      <c r="AO97" s="150" t="str" cm="1">
        <f t="array" ref="AO97">IF(B97="","",IF(LEFT(_xlfn.SINGLE(_xll.BDP($B97,AO$9,"fill=b")),1)="#","-",_xll.BDP($B97,AO$9,"fill=b")))</f>
        <v>ITABBA</v>
      </c>
      <c r="AP97" s="150" t="str" cm="1">
        <f t="array" ref="AP97">IF(B97="","",_xll.BDP($B97,AP$9,"fill=b"))</f>
        <v>Energy</v>
      </c>
      <c r="AQ97" s="150" t="str" cm="1">
        <f t="array" ref="AQ97">IF(B97="","",_xll.BDP($B97,AQ$9,"fill=b"))</f>
        <v>Energy-Alternate Sources</v>
      </c>
      <c r="AR97" s="150" t="str" cm="1">
        <f t="array" ref="AR97">IF(B97="","",_xll.BDP($B97,AR$9,"fill=b"))</f>
        <v/>
      </c>
      <c r="AS97" s="150" t="str" cm="1">
        <f t="array" ref="AS97">IF(B97="","",_xll.BDP($B97,AS$9,"fill=b"))</f>
        <v/>
      </c>
      <c r="AT97" s="150" t="str" cm="1">
        <f t="array" ref="AT97">IF(B97="","",_xll.BDP($B97,AT$9,"fill=b"))</f>
        <v>WD</v>
      </c>
      <c r="AU97" s="258" t="str" cm="1">
        <f t="array" ref="AU97">IF(B97="","",_xll.BDP($B97,AU$9,"fill=b"))</f>
        <v>CPN = BZCLVLUE INDEX + 911 BPS. ISSUED UNDER LAW 12.431</v>
      </c>
    </row>
    <row r="98" spans="2:47" ht="15" x14ac:dyDescent="0.25">
      <c r="B98" s="232" t="s">
        <v>279</v>
      </c>
      <c r="C98" s="150" t="str" cm="1">
        <f t="array" ref="C98">IF(B98="","",_xll.BDP($B98,C$9,"fill=b"))</f>
        <v>TEPE21</v>
      </c>
      <c r="D98" s="150" t="str" cm="1">
        <f t="array" ref="D98">IF(B98="","",_xll.BDP($B98,D$9,"fill=b"))</f>
        <v>TERPBZ 9.11 02/15/25</v>
      </c>
      <c r="E98" s="150" t="str" cm="1">
        <f t="array" ref="E98">IF(B98="","",_xll.BDP($B98,E$9,"fill=b"))</f>
        <v>TERMELETRICA PERNAMBUCO</v>
      </c>
      <c r="F98" s="150" t="str" cm="1">
        <f t="array" ref="F98">IF(B98="","",IF(LEFT(_xlfn.SINGLE(_xll.BDP($B98,F$9,"fill=b")),1)="#","-",_xll.BDP($B98,F$9,"fill=b")))</f>
        <v>0237680D BZ</v>
      </c>
      <c r="G98" s="150" t="str" cm="1">
        <f t="array" ref="G98">IF(B98="","",_xll.BDP($B98,G$9,"fill=b"))</f>
        <v>BRAZIL IPCA+SPREAD</v>
      </c>
      <c r="H98" s="150" t="str" cm="1">
        <f t="array" ref="H98">IF(B98="","",_xll.BDP($B98,H$9,"fill=b"))</f>
        <v/>
      </c>
      <c r="I98" s="150" t="str" cm="1">
        <f t="array" ref="I98">IF(LEFT(_xlfn.SINGLE(_xll.BDP(B98,"REFERENCE_INDEX")),1)="#",IF(LEFT(_xlfn.SINGLE(_xll.BDP(B98, "RESET_IDX"))&amp;" Index",1)="#","",_xlfn.SINGLE(_xll.BDP(B98, "RESET_IDX"))&amp;" Index"),_xll.BDP(B98,"REFERENCE_INDEX"))</f>
        <v>BZCLVLUE Index</v>
      </c>
      <c r="J98" s="150" t="str">
        <f>IF(I98="BZDIOVRA Index",IF(_xll.BDP(B98,"FLT_SPREAD")/100=0,_xll.BDP(B98,"FLT_BENCH_MULTIPLIER"),_xll.BDP(B98,"FLT_SPREAD")/100),"")</f>
        <v/>
      </c>
      <c r="K98" s="150" t="str" cm="1">
        <f t="array" ref="K98">IF(B98="","",IF(LEFT(_xlfn.SINGLE(_xll.BDP($B98,K$9,"fill=b")),1)="#","-",_xll.BDP($B98,K$9,"fill=b")))</f>
        <v>-</v>
      </c>
      <c r="L98" s="233"/>
      <c r="M98" s="234" t="e">
        <f t="shared" si="25"/>
        <v>#VALUE!</v>
      </c>
      <c r="N98" s="252" t="e">
        <f>IF(B98="","",IF(R98="",IF(OR(AD98="SINKABLE",AD98="CALL/SINK"),_xll.BDP(B98,$N$9,$M$9,M98,"PRICING SOURCE",$C$6,"FILL=B"),_xll.BDP(B98,$N$9,$M$9,M98,"PRICING SOURCE",$C$6,"FILL=B")),IF(OR(AD98="SINKABLE",AD98="CALL/SINK"),_xll.BDP(B98,$N$9,$Q$10,S98,$M$9,M98,"PRICING SOURCE",$C$6,"FILL=B"),_xll.BDP(B98,$N$9,$Q$9,S98,$M$9,M98,"PRICING SOURCE",$C$6,"FILL=B"))))</f>
        <v>#VALUE!</v>
      </c>
      <c r="O98" s="235"/>
      <c r="P98" s="236" t="e">
        <f t="shared" si="26"/>
        <v>#VALUE!</v>
      </c>
      <c r="Q98" s="166" t="str">
        <f>IF(ISERROR((IF(OR(AD98="SINKABLE",AD98="CALL/SINK"),_xll.BDP($B98,$Q$10,"fill=b","PRICING_SOURCE",$C$6,$AC98,$N$9,$P98,$M$9,$M98),_xll.BDP($B98,Q$9,"fill=b","PRICING_SOURCE",$C$6,$AC98,$N$9,$P98,$M$9,$M98)))*1),"",IF(OR(AD98="SINKABLE",AD98="CALL/SINK"),_xll.BDP($B98,$Q$10,"fill=b","PRICING_SOURCE",$C$6,$AC98,$N$9,$P98,$M$9,$M98),_xll.BDP($B98,Q$9,"fill=b","PRICING_SOURCE",$C$6,$AC98,$N$9,$P98,$M$9,$M98)))</f>
        <v/>
      </c>
      <c r="R98" s="237"/>
      <c r="S98" s="238" t="str">
        <f t="shared" si="27"/>
        <v/>
      </c>
      <c r="T98" s="239" cm="1">
        <f t="array" ref="T98">IF(ISERROR((_xlfn.SINGLE(IF(OR(AD98="SINKABLE",AD98="CALL/SINK"),_xll.BDP($B98,$Q$10,"fill=b","PRICING_SOURCE",$C$6,$AC98,$M$9,$U98,"px ask",$AE98),_xll.BDP($B98,Q$9,"fill=b","PRICING_SOURCE",$C$6,$AC98,$M$9,$U98,"px ask",$AE98))))*1),"",IF(OR(AD98="SINKABLE",AD98="CALL/SINK"),_xll.BDP($B98,$Q$10,"fill=b","PRICING_SOURCE",$C$6,$AC98,$M$9,$U98,"px ask",$AE98),_xll.BDP($B98,Q$9,"fill=b","PRICING_SOURCE",$C$6,$AC98,$M$9,$U98,"px ask",$AE98)))</f>
        <v>134.72531614697226</v>
      </c>
      <c r="U98" s="240" t="str">
        <f t="shared" si="22"/>
        <v>20131220</v>
      </c>
      <c r="V98" s="254" t="e" cm="1">
        <f t="array" ref="V98">IF(B98="","",IF(I98="BZDIOVRA Index",IF(OR(AD98="SINKABLE",AD98="CALL/SINK"),_xll.BDP($B98,"PX_ASK",$Q$10,J98,$M$9,M98),_xll.BDP($B98,"PX_"&amp;$H$7,$Q$9,J98,$M$9,M98)),_xll.BDP($B98,"PX_"&amp;$H$7,$Q$9,_xll.BDP(B98,"CPN"),$M$9,M98)))</f>
        <v>#VALUE!</v>
      </c>
      <c r="W98" s="254" t="str">
        <f t="shared" si="23"/>
        <v/>
      </c>
      <c r="X98" s="166" t="e">
        <f>IF(B98="","",IF(OR(AD98="SINKABLE",AD98="CALL/SINK"),_xll.BDP($B98,X$9,"fill=b","PRICING_SOURCE",$C$6,$AC98,$M$9,$M98,$N$9,$P98,$Q$10,$S98),_xll.BDP($B98,X$9,"fill=b","PRICING_SOURCE",$C$6,$AC98,$M$9,$M98,$N$9,$P98,$Q$9,$S98)))</f>
        <v>#VALUE!</v>
      </c>
      <c r="Y98" s="166" t="e">
        <f>IF(B98="","",IF(OR(AD98="SINKABLE",AD98="CALL/SINK"),_xll.BDP($B98,Y$9,"fill=b","PRICING_SOURCE",$C$6,$AC98,$M$9,$M98,$N$9,$P98,$Q$10,$S98),_xll.BDP($B98,Y$9,"fill=b","PRICING_SOURCE",$C$6,$AC98,$M$9,$M98,$N$9,$P98,$Q$9,$S98)))</f>
        <v>#VALUE!</v>
      </c>
      <c r="Z98" s="255" t="e">
        <f>IF(B98="","",IF(OR(AD98="SINKABLE",AD98="CALL/SINK"),_xll.BDP($B98,Z$9,"fill=b","PRICING_SOURCE",$C$6,$AC98,$M$9,$M98,$N$9,$P98,$Q$10,$S98),_xll.BDP($B98,Z$9,"fill=b","PRICING_SOURCE",$C$6,$AC98,$M$9,$M98,$N$9,$P98,$Q$9,$S98)))</f>
        <v>#VALUE!</v>
      </c>
      <c r="AA98" s="166" t="e">
        <f>IF(B98="","",IF(OR(AD98="SINKABLE",AD98="CALL/SINK"),_xll.BDP($B98,AA$9,"fill=b","PRICING_SOURCE",$C$6,$AC98,$M$9,$M98,$N$9,$P98,$Q$10,$S98),_xll.BDP($B98,AA$9,"fill=b","PRICING_SOURCE",$C$6,$AC98,$M$9,$M98,$N$9,$P98,$Q$9,$S98)))</f>
        <v>#VALUE!</v>
      </c>
      <c r="AB98" s="150" t="str" cm="1">
        <f t="array" ref="AB98">IF(B98="","",IF(LEFT(_xlfn.SINGLE(_xll.BDP($B98,AB$9,"fill=b")),1)="#","-",_xll.BDP($B98,AB$9,"fill=b")))</f>
        <v>2/15/2025</v>
      </c>
      <c r="AC98" s="150" t="str">
        <f t="shared" si="28"/>
        <v>YLD FLAG=28</v>
      </c>
      <c r="AD98" s="150" t="str" cm="1">
        <f t="array" ref="AD98">IF(B98="","",_xll.BDP($B98,AD$9,"fill=b"))</f>
        <v>SINKABLE</v>
      </c>
      <c r="AE98" s="256" cm="1">
        <f t="array" ref="AE98">IF(B98="","",IF(ISERROR(_xlfn.SINGLE(_xll.BDH(B98,"PX LAST",AN98,AN98,"DAYS=ALL","PRICING SOURCE",$C$6))*1),_xll.BDP(B98,"PAR AMT"),_xll.BDH(B98,"PX LAST",AN98,AN98,"DAYS=ALL","PRICING SOURCE",$C$6)))</f>
        <v>730</v>
      </c>
      <c r="AF98" s="150" cm="1">
        <f t="array" ref="AF98">IF(B98="","",_xll.BDP($B98,AF$9,"fill=b"))</f>
        <v>9.11</v>
      </c>
      <c r="AG98" s="150"/>
      <c r="AH98" s="190">
        <f>IF(B98="","",IF($AD98="AT MATURITY",$AB98*1,_xll.BADDPERIODS(_xll.BDP($B98,"issue dt"),"numberofperiods",TRUNC(_xll.BDP($B98,"YRS_TO_LONGEST_AVG_LIFE","YLD_YTM_BID",AF98,"SETTLE_DT",U98,AC98),0),"per=y")+(ROUND(MOD(_xll.BDP(B98,"YRS_TO_LONGEST_AVG_LIFE","YLD_YTM_BID",AF98,"SETTLE_DT",U98,AC98),1)*360,0))))</f>
        <v>67123</v>
      </c>
      <c r="AI98" s="150" t="e">
        <f t="array" ref="AI98">IF(B98="","",AF98-_xll.BInterpol(_xll.BDP(_xll.BDS("YCGT0372 Index","curve members","CURVE_DATE", $U98,"endcol=1","array=true"),"maturity")*1,_xll.BDH(_xll.BDS("YCGT0372 Index","curve members","CURVE_DATE", $U98,"endcol=1","array=true"),"yld cnv mid",$U98,$U98,"days=all"),AH98,"CUBIC","Extrapolate=LINEAR","SKIP=TRUE","SORT=TRUE","MultiX=Average"))</f>
        <v>#VALUE!</v>
      </c>
      <c r="AJ98" s="189" t="str">
        <f t="shared" si="24"/>
        <v/>
      </c>
      <c r="AK98" s="257" t="str" cm="1">
        <f t="array" ref="AK98">IF(B98="","",_xll.BDP($B98,AK$9,"fill=b"))</f>
        <v>75MM</v>
      </c>
      <c r="AL98" s="257" t="str" cm="1">
        <f t="array" ref="AL98">IF(B98="","",_xll.BDP($B98,AL$9,"fill=b"))</f>
        <v>0</v>
      </c>
      <c r="AM98" s="256" cm="1">
        <f t="array" ref="AM98">IF(B98="","",_xll.BDP($B98,AM$9,"fill=b"))</f>
        <v>730</v>
      </c>
      <c r="AN98" s="150" t="str" cm="1">
        <f t="array" ref="AN98">IF(B98="","",_xll.BDP($B98,AN$9,"fill=b"))</f>
        <v>12/20/2013</v>
      </c>
      <c r="AO98" s="150" t="str" cm="1">
        <f t="array" ref="AO98">IF(B98="","",IF(LEFT(_xlfn.SINGLE(_xll.BDP($B98,AO$9,"fill=b")),1)="#","-",_xll.BDP($B98,AO$9,"fill=b")))</f>
        <v>ITABBA</v>
      </c>
      <c r="AP98" s="150" t="str" cm="1">
        <f t="array" ref="AP98">IF(B98="","",_xll.BDP($B98,AP$9,"fill=b"))</f>
        <v>Energy</v>
      </c>
      <c r="AQ98" s="150" t="str" cm="1">
        <f t="array" ref="AQ98">IF(B98="","",_xll.BDP($B98,AQ$9,"fill=b"))</f>
        <v>Energy-Alternate Sources</v>
      </c>
      <c r="AR98" s="150" t="str" cm="1">
        <f t="array" ref="AR98">IF(B98="","",_xll.BDP($B98,AR$9,"fill=b"))</f>
        <v/>
      </c>
      <c r="AS98" s="150" t="str" cm="1">
        <f t="array" ref="AS98">IF(B98="","",_xll.BDP($B98,AS$9,"fill=b"))</f>
        <v/>
      </c>
      <c r="AT98" s="150" t="str" cm="1">
        <f t="array" ref="AT98">IF(B98="","",_xll.BDP($B98,AT$9,"fill=b"))</f>
        <v>WD</v>
      </c>
      <c r="AU98" s="258" t="str" cm="1">
        <f t="array" ref="AU98">IF(B98="","",_xll.BDP($B98,AU$9,"fill=b"))</f>
        <v>CPN = BZCLVLUE INDEX + 911 BPS. ISSUED UNDER LAW 12.431.</v>
      </c>
    </row>
    <row r="99" spans="2:47" ht="15" x14ac:dyDescent="0.25">
      <c r="B99" s="232" t="s">
        <v>294</v>
      </c>
      <c r="C99" s="150" t="str" cm="1">
        <f t="array" ref="C99">IF(B99="","",_xll.BDP($B99,C$9,"fill=b"))</f>
        <v>TEPE31</v>
      </c>
      <c r="D99" s="150" t="str" cm="1">
        <f t="array" ref="D99">IF(B99="","",_xll.BDP($B99,D$9,"fill=b"))</f>
        <v>TERPBZ 9.11 05/15/25</v>
      </c>
      <c r="E99" s="150" t="str" cm="1">
        <f t="array" ref="E99">IF(B99="","",_xll.BDP($B99,E$9,"fill=b"))</f>
        <v>TERMELETRICA PERNAMBUCO</v>
      </c>
      <c r="F99" s="150" t="str" cm="1">
        <f t="array" ref="F99">IF(B99="","",IF(LEFT(_xlfn.SINGLE(_xll.BDP($B99,F$9,"fill=b")),1)="#","-",_xll.BDP($B99,F$9,"fill=b")))</f>
        <v>0237680D BZ</v>
      </c>
      <c r="G99" s="150" t="str" cm="1">
        <f t="array" ref="G99">IF(B99="","",_xll.BDP($B99,G$9,"fill=b"))</f>
        <v>BRAZIL IPCA+SPREAD</v>
      </c>
      <c r="H99" s="150" t="str" cm="1">
        <f t="array" ref="H99">IF(B99="","",_xll.BDP($B99,H$9,"fill=b"))</f>
        <v/>
      </c>
      <c r="I99" s="150" t="str" cm="1">
        <f t="array" ref="I99">IF(LEFT(_xlfn.SINGLE(_xll.BDP(B99,"REFERENCE_INDEX")),1)="#",IF(LEFT(_xlfn.SINGLE(_xll.BDP(B99, "RESET_IDX"))&amp;" Index",1)="#","",_xlfn.SINGLE(_xll.BDP(B99, "RESET_IDX"))&amp;" Index"),_xll.BDP(B99,"REFERENCE_INDEX"))</f>
        <v>BZCLVLUE Index</v>
      </c>
      <c r="J99" s="150" t="str">
        <f>IF(I99="BZDIOVRA Index",IF(_xll.BDP(B99,"FLT_SPREAD")/100=0,_xll.BDP(B99,"FLT_BENCH_MULTIPLIER"),_xll.BDP(B99,"FLT_SPREAD")/100),"")</f>
        <v/>
      </c>
      <c r="K99" s="150" t="str" cm="1">
        <f t="array" ref="K99">IF(B99="","",IF(LEFT(_xlfn.SINGLE(_xll.BDP($B99,K$9,"fill=b")),1)="#","-",_xll.BDP($B99,K$9,"fill=b")))</f>
        <v>-</v>
      </c>
      <c r="L99" s="233"/>
      <c r="M99" s="234" t="e">
        <f t="shared" si="25"/>
        <v>#VALUE!</v>
      </c>
      <c r="N99" s="252" t="e">
        <f>IF(B99="","",IF(R99="",IF(OR(AD99="SINKABLE",AD99="CALL/SINK"),_xll.BDP(B99,$N$9,$M$9,M99,"PRICING SOURCE",$C$6,"FILL=B"),_xll.BDP(B99,$N$9,$M$9,M99,"PRICING SOURCE",$C$6,"FILL=B")),IF(OR(AD99="SINKABLE",AD99="CALL/SINK"),_xll.BDP(B99,$N$9,$Q$10,S99,$M$9,M99,"PRICING SOURCE",$C$6,"FILL=B"),_xll.BDP(B99,$N$9,$Q$9,S99,$M$9,M99,"PRICING SOURCE",$C$6,"FILL=B"))))</f>
        <v>#VALUE!</v>
      </c>
      <c r="O99" s="235"/>
      <c r="P99" s="236" t="e">
        <f t="shared" si="26"/>
        <v>#VALUE!</v>
      </c>
      <c r="Q99" s="166" t="str">
        <f>IF(ISERROR((IF(OR(AD99="SINKABLE",AD99="CALL/SINK"),_xll.BDP($B99,$Q$10,"fill=b","PRICING_SOURCE",$C$6,$AC99,$N$9,$P99,$M$9,$M99),_xll.BDP($B99,Q$9,"fill=b","PRICING_SOURCE",$C$6,$AC99,$N$9,$P99,$M$9,$M99)))*1),"",IF(OR(AD99="SINKABLE",AD99="CALL/SINK"),_xll.BDP($B99,$Q$10,"fill=b","PRICING_SOURCE",$C$6,$AC99,$N$9,$P99,$M$9,$M99),_xll.BDP($B99,Q$9,"fill=b","PRICING_SOURCE",$C$6,$AC99,$N$9,$P99,$M$9,$M99)))</f>
        <v/>
      </c>
      <c r="R99" s="237"/>
      <c r="S99" s="238" t="str">
        <f t="shared" si="27"/>
        <v/>
      </c>
      <c r="T99" s="239" cm="1">
        <f t="array" ref="T99">IF(ISERROR((_xlfn.SINGLE(IF(OR(AD99="SINKABLE",AD99="CALL/SINK"),_xll.BDP($B99,$Q$10,"fill=b","PRICING_SOURCE",$C$6,$AC99,$M$9,$U99,"px ask",$AE99),_xll.BDP($B99,Q$9,"fill=b","PRICING_SOURCE",$C$6,$AC99,$M$9,$U99,"px ask",$AE99))))*1),"",IF(OR(AD99="SINKABLE",AD99="CALL/SINK"),_xll.BDP($B99,$Q$10,"fill=b","PRICING_SOURCE",$C$6,$AC99,$M$9,$U99,"px ask",$AE99),_xll.BDP($B99,Q$9,"fill=b","PRICING_SOURCE",$C$6,$AC99,$M$9,$U99,"px ask",$AE99)))</f>
        <v>122.04008031625285</v>
      </c>
      <c r="U99" s="240" t="str">
        <f t="shared" si="22"/>
        <v>20131220</v>
      </c>
      <c r="V99" s="254" t="e" cm="1">
        <f t="array" ref="V99">IF(B99="","",IF(I99="BZDIOVRA Index",IF(OR(AD99="SINKABLE",AD99="CALL/SINK"),_xll.BDP($B99,"PX_ASK",$Q$10,J99,$M$9,M99),_xll.BDP($B99,"PX_"&amp;$H$7,$Q$9,J99,$M$9,M99)),_xll.BDP($B99,"PX_"&amp;$H$7,$Q$9,_xll.BDP(B99,"CPN"),$M$9,M99)))</f>
        <v>#VALUE!</v>
      </c>
      <c r="W99" s="254" t="str">
        <f t="shared" si="23"/>
        <v/>
      </c>
      <c r="X99" s="166" t="e">
        <f>IF(B99="","",IF(OR(AD99="SINKABLE",AD99="CALL/SINK"),_xll.BDP($B99,X$9,"fill=b","PRICING_SOURCE",$C$6,$AC99,$M$9,$M99,$N$9,$P99,$Q$10,$S99),_xll.BDP($B99,X$9,"fill=b","PRICING_SOURCE",$C$6,$AC99,$M$9,$M99,$N$9,$P99,$Q$9,$S99)))</f>
        <v>#VALUE!</v>
      </c>
      <c r="Y99" s="166" t="e">
        <f>IF(B99="","",IF(OR(AD99="SINKABLE",AD99="CALL/SINK"),_xll.BDP($B99,Y$9,"fill=b","PRICING_SOURCE",$C$6,$AC99,$M$9,$M99,$N$9,$P99,$Q$10,$S99),_xll.BDP($B99,Y$9,"fill=b","PRICING_SOURCE",$C$6,$AC99,$M$9,$M99,$N$9,$P99,$Q$9,$S99)))</f>
        <v>#VALUE!</v>
      </c>
      <c r="Z99" s="255" t="e">
        <f>IF(B99="","",IF(OR(AD99="SINKABLE",AD99="CALL/SINK"),_xll.BDP($B99,Z$9,"fill=b","PRICING_SOURCE",$C$6,$AC99,$M$9,$M99,$N$9,$P99,$Q$10,$S99),_xll.BDP($B99,Z$9,"fill=b","PRICING_SOURCE",$C$6,$AC99,$M$9,$M99,$N$9,$P99,$Q$9,$S99)))</f>
        <v>#VALUE!</v>
      </c>
      <c r="AA99" s="166" t="e">
        <f>IF(B99="","",IF(OR(AD99="SINKABLE",AD99="CALL/SINK"),_xll.BDP($B99,AA$9,"fill=b","PRICING_SOURCE",$C$6,$AC99,$M$9,$M99,$N$9,$P99,$Q$10,$S99),_xll.BDP($B99,AA$9,"fill=b","PRICING_SOURCE",$C$6,$AC99,$M$9,$M99,$N$9,$P99,$Q$9,$S99)))</f>
        <v>#VALUE!</v>
      </c>
      <c r="AB99" s="150" t="str" cm="1">
        <f t="array" ref="AB99">IF(B99="","",IF(LEFT(_xlfn.SINGLE(_xll.BDP($B99,AB$9,"fill=b")),1)="#","-",_xll.BDP($B99,AB$9,"fill=b")))</f>
        <v>5/15/2025</v>
      </c>
      <c r="AC99" s="150" t="str">
        <f t="shared" si="28"/>
        <v>YLD FLAG=28</v>
      </c>
      <c r="AD99" s="150" t="str" cm="1">
        <f t="array" ref="AD99">IF(B99="","",_xll.BDP($B99,AD$9,"fill=b"))</f>
        <v>SINKABLE</v>
      </c>
      <c r="AE99" s="256" cm="1">
        <f t="array" ref="AE99">IF(B99="","",IF(ISERROR(_xlfn.SINGLE(_xll.BDH(B99,"PX LAST",AN99,AN99,"DAYS=ALL","PRICING SOURCE",$C$6))*1),_xll.BDP(B99,"PAR AMT"),_xll.BDH(B99,"PX LAST",AN99,AN99,"DAYS=ALL","PRICING SOURCE",$C$6)))</f>
        <v>730</v>
      </c>
      <c r="AF99" s="150" cm="1">
        <f t="array" ref="AF99">IF(B99="","",_xll.BDP($B99,AF$9,"fill=b"))</f>
        <v>9.11</v>
      </c>
      <c r="AG99" s="150"/>
      <c r="AH99" s="190">
        <f>IF(B99="","",IF($AD99="AT MATURITY",$AB99*1,_xll.BADDPERIODS(_xll.BDP($B99,"issue dt"),"numberofperiods",TRUNC(_xll.BDP($B99,"YRS_TO_LONGEST_AVG_LIFE","YLD_YTM_BID",AF99,"SETTLE_DT",U99,AC99),0),"per=y")+(ROUND(MOD(_xll.BDP(B99,"YRS_TO_LONGEST_AVG_LIFE","YLD_YTM_BID",AF99,"SETTLE_DT",U99,AC99),1)*360,0))))</f>
        <v>68022</v>
      </c>
      <c r="AI99" s="150" t="e" cm="1">
        <f t="array" ref="AI99">IF(B99="","",AF99-_xll.BInterpol(_xll.BDP(_xll.BDS("YCGT0372 Index","curve members","CURVE_DATE", $U99,"endcol=1","array=true"),"maturity")*1,_xll.BDH(_xll.BDS("YCGT0372 Index","curve members","CURVE_DATE", $U99,"endcol=1","array=true"),"yld cnv mid",$U99,$U99,"days=all"),AH99,"CUBIC","Extrapolate=LINEAR","SKIP=TRUE","SORT=TRUE","MultiX=Average"))</f>
        <v>#VALUE!</v>
      </c>
      <c r="AJ99" s="189" t="str">
        <f t="shared" si="24"/>
        <v/>
      </c>
      <c r="AK99" s="257" t="str" cm="1">
        <f t="array" ref="AK99">IF(B99="","",_xll.BDP($B99,AK$9,"fill=b"))</f>
        <v>75MM</v>
      </c>
      <c r="AL99" s="257" t="str" cm="1">
        <f t="array" ref="AL99">IF(B99="","",_xll.BDP($B99,AL$9,"fill=b"))</f>
        <v>0</v>
      </c>
      <c r="AM99" s="256" cm="1">
        <f t="array" ref="AM99">IF(B99="","",_xll.BDP($B99,AM$9,"fill=b"))</f>
        <v>730</v>
      </c>
      <c r="AN99" s="150" t="str" cm="1">
        <f t="array" ref="AN99">IF(B99="","",_xll.BDP($B99,AN$9,"fill=b"))</f>
        <v>12/20/2013</v>
      </c>
      <c r="AO99" s="150" t="str" cm="1">
        <f t="array" ref="AO99">IF(B99="","",IF(LEFT(_xlfn.SINGLE(_xll.BDP($B99,AO$9,"fill=b")),1)="#","-",_xll.BDP($B99,AO$9,"fill=b")))</f>
        <v>ITABBA</v>
      </c>
      <c r="AP99" s="150" t="str" cm="1">
        <f t="array" ref="AP99">IF(B99="","",_xll.BDP($B99,AP$9,"fill=b"))</f>
        <v>Energy</v>
      </c>
      <c r="AQ99" s="150" t="str" cm="1">
        <f t="array" ref="AQ99">IF(B99="","",_xll.BDP($B99,AQ$9,"fill=b"))</f>
        <v>Energy-Alternate Sources</v>
      </c>
      <c r="AR99" s="150" t="str" cm="1">
        <f t="array" ref="AR99">IF(B99="","",_xll.BDP($B99,AR$9,"fill=b"))</f>
        <v/>
      </c>
      <c r="AS99" s="150" t="str" cm="1">
        <f t="array" ref="AS99">IF(B99="","",_xll.BDP($B99,AS$9,"fill=b"))</f>
        <v/>
      </c>
      <c r="AT99" s="150" t="str" cm="1">
        <f t="array" ref="AT99">IF(B99="","",_xll.BDP($B99,AT$9,"fill=b"))</f>
        <v>WD</v>
      </c>
      <c r="AU99" s="258" t="str" cm="1">
        <f t="array" ref="AU99">IF(B99="","",_xll.BDP($B99,AU$9,"fill=b"))</f>
        <v>CPN = BZCLVLUE INDEX + 911 BPS. ISSUED UNDER LAW 12.431.</v>
      </c>
    </row>
    <row r="100" spans="2:47" ht="15" x14ac:dyDescent="0.25">
      <c r="B100" s="232" t="s">
        <v>293</v>
      </c>
      <c r="C100" s="150" t="str" cm="1">
        <f t="array" ref="C100">IF(B100="","",_xll.BDP($B100,C$9,"fill=b"))</f>
        <v>TEPE41</v>
      </c>
      <c r="D100" s="150" t="str" cm="1">
        <f t="array" ref="D100">IF(B100="","",_xll.BDP($B100,D$9,"fill=b"))</f>
        <v>TERPBZ 9.11 08/15/25</v>
      </c>
      <c r="E100" s="150" t="str" cm="1">
        <f t="array" ref="E100">IF(B100="","",_xll.BDP($B100,E$9,"fill=b"))</f>
        <v>TERMELETRICA PERNAMBUCO</v>
      </c>
      <c r="F100" s="150" t="str" cm="1">
        <f t="array" ref="F100">IF(B100="","",IF(LEFT(_xlfn.SINGLE(_xll.BDP($B100,F$9,"fill=b")),1)="#","-",_xll.BDP($B100,F$9,"fill=b")))</f>
        <v>0237680D BZ</v>
      </c>
      <c r="G100" s="150" t="str" cm="1">
        <f t="array" ref="G100">IF(B100="","",_xll.BDP($B100,G$9,"fill=b"))</f>
        <v>BRAZIL IPCA+SPREAD</v>
      </c>
      <c r="H100" s="150" t="str" cm="1">
        <f t="array" ref="H100">IF(B100="","",_xll.BDP($B100,H$9,"fill=b"))</f>
        <v/>
      </c>
      <c r="I100" s="150" t="str" cm="1">
        <f t="array" ref="I100">IF(LEFT(_xlfn.SINGLE(_xll.BDP(B100,"REFERENCE_INDEX")),1)="#",IF(LEFT(_xlfn.SINGLE(_xll.BDP(B100, "RESET_IDX"))&amp;" Index",1)="#","",_xlfn.SINGLE(_xll.BDP(B100, "RESET_IDX"))&amp;" Index"),_xll.BDP(B100,"REFERENCE_INDEX"))</f>
        <v>BZCLVLUE Index</v>
      </c>
      <c r="J100" s="150" t="str">
        <f>IF(I100="BZDIOVRA Index",IF(_xll.BDP(B100,"FLT_SPREAD")/100=0,_xll.BDP(B100,"FLT_BENCH_MULTIPLIER"),_xll.BDP(B100,"FLT_SPREAD")/100),"")</f>
        <v/>
      </c>
      <c r="K100" s="150" t="str" cm="1">
        <f t="array" ref="K100">IF(B100="","",IF(LEFT(_xlfn.SINGLE(_xll.BDP($B100,K$9,"fill=b")),1)="#","-",_xll.BDP($B100,K$9,"fill=b")))</f>
        <v>-</v>
      </c>
      <c r="L100" s="233"/>
      <c r="M100" s="234" t="e">
        <f t="shared" si="25"/>
        <v>#VALUE!</v>
      </c>
      <c r="N100" s="252" t="e">
        <f>IF(B100="","",IF(R100="",IF(OR(AD100="SINKABLE",AD100="CALL/SINK"),_xll.BDP(B100,$N$9,$M$9,M100,"PRICING SOURCE",$C$6,"FILL=B"),_xll.BDP(B100,$N$9,$M$9,M100,"PRICING SOURCE",$C$6,"FILL=B")),IF(OR(AD100="SINKABLE",AD100="CALL/SINK"),_xll.BDP(B100,$N$9,$Q$10,S100,$M$9,M100,"PRICING SOURCE",$C$6,"FILL=B"),_xll.BDP(B100,$N$9,$Q$9,S100,$M$9,M100,"PRICING SOURCE",$C$6,"FILL=B"))))</f>
        <v>#VALUE!</v>
      </c>
      <c r="O100" s="235"/>
      <c r="P100" s="236" t="e">
        <f t="shared" si="26"/>
        <v>#VALUE!</v>
      </c>
      <c r="Q100" s="166" t="str">
        <f>IF(ISERROR((IF(OR(AD100="SINKABLE",AD100="CALL/SINK"),_xll.BDP($B100,$Q$10,"fill=b","PRICING_SOURCE",$C$6,$AC100,$N$9,$P100,$M$9,$M100),_xll.BDP($B100,Q$9,"fill=b","PRICING_SOURCE",$C$6,$AC100,$N$9,$P100,$M$9,$M100)))*1),"",IF(OR(AD100="SINKABLE",AD100="CALL/SINK"),_xll.BDP($B100,$Q$10,"fill=b","PRICING_SOURCE",$C$6,$AC100,$N$9,$P100,$M$9,$M100),_xll.BDP($B100,Q$9,"fill=b","PRICING_SOURCE",$C$6,$AC100,$N$9,$P100,$M$9,$M100)))</f>
        <v/>
      </c>
      <c r="R100" s="237"/>
      <c r="S100" s="238" t="str">
        <f t="shared" si="27"/>
        <v/>
      </c>
      <c r="T100" s="239" cm="1">
        <f t="array" ref="T100">IF(ISERROR((_xlfn.SINGLE(IF(OR(AD100="SINKABLE",AD100="CALL/SINK"),_xll.BDP($B100,$Q$10,"fill=b","PRICING_SOURCE",$C$6,$AC100,$M$9,$U100,"px ask",$AE100),_xll.BDP($B100,Q$9,"fill=b","PRICING_SOURCE",$C$6,$AC100,$M$9,$U100,"px ask",$AE100))))*1),"",IF(OR(AD100="SINKABLE",AD100="CALL/SINK"),_xll.BDP($B100,$Q$10,"fill=b","PRICING_SOURCE",$C$6,$AC100,$M$9,$U100,"px ask",$AE100),_xll.BDP($B100,Q$9,"fill=b","PRICING_SOURCE",$C$6,$AC100,$M$9,$U100,"px ask",$AE100)))</f>
        <v>110.99589010755979</v>
      </c>
      <c r="U100" s="240" t="str">
        <f t="shared" si="22"/>
        <v>20131220</v>
      </c>
      <c r="V100" s="254" t="e" cm="1">
        <f t="array" ref="V100">IF(B100="","",IF(I100="BZDIOVRA Index",IF(OR(AD100="SINKABLE",AD100="CALL/SINK"),_xll.BDP($B100,"PX_ASK",$Q$10,J100,$M$9,M100),_xll.BDP($B100,"PX_"&amp;$H$7,$Q$9,J100,$M$9,M100)),_xll.BDP($B100,"PX_"&amp;$H$7,$Q$9,_xll.BDP(B100,"CPN"),$M$9,M100)))</f>
        <v>#VALUE!</v>
      </c>
      <c r="W100" s="254" t="str">
        <f t="shared" si="23"/>
        <v/>
      </c>
      <c r="X100" s="166" t="e">
        <f>IF(B100="","",IF(OR(AD100="SINKABLE",AD100="CALL/SINK"),_xll.BDP($B100,X$9,"fill=b","PRICING_SOURCE",$C$6,$AC100,$M$9,$M100,$N$9,$P100,$Q$10,$S100),_xll.BDP($B100,X$9,"fill=b","PRICING_SOURCE",$C$6,$AC100,$M$9,$M100,$N$9,$P100,$Q$9,$S100)))</f>
        <v>#VALUE!</v>
      </c>
      <c r="Y100" s="166" t="e">
        <f>IF(B100="","",IF(OR(AD100="SINKABLE",AD100="CALL/SINK"),_xll.BDP($B100,Y$9,"fill=b","PRICING_SOURCE",$C$6,$AC100,$M$9,$M100,$N$9,$P100,$Q$10,$S100),_xll.BDP($B100,Y$9,"fill=b","PRICING_SOURCE",$C$6,$AC100,$M$9,$M100,$N$9,$P100,$Q$9,$S100)))</f>
        <v>#VALUE!</v>
      </c>
      <c r="Z100" s="255" t="e">
        <f>IF(B100="","",IF(OR(AD100="SINKABLE",AD100="CALL/SINK"),_xll.BDP($B100,Z$9,"fill=b","PRICING_SOURCE",$C$6,$AC100,$M$9,$M100,$N$9,$P100,$Q$10,$S100),_xll.BDP($B100,Z$9,"fill=b","PRICING_SOURCE",$C$6,$AC100,$M$9,$M100,$N$9,$P100,$Q$9,$S100)))</f>
        <v>#VALUE!</v>
      </c>
      <c r="AA100" s="166" t="e">
        <f>IF(B100="","",IF(OR(AD100="SINKABLE",AD100="CALL/SINK"),_xll.BDP($B100,AA$9,"fill=b","PRICING_SOURCE",$C$6,$AC100,$M$9,$M100,$N$9,$P100,$Q$10,$S100),_xll.BDP($B100,AA$9,"fill=b","PRICING_SOURCE",$C$6,$AC100,$M$9,$M100,$N$9,$P100,$Q$9,$S100)))</f>
        <v>#VALUE!</v>
      </c>
      <c r="AB100" s="150" t="str" cm="1">
        <f t="array" ref="AB100">IF(B100="","",IF(LEFT(_xlfn.SINGLE(_xll.BDP($B100,AB$9,"fill=b")),1)="#","-",_xll.BDP($B100,AB$9,"fill=b")))</f>
        <v>8/15/2025</v>
      </c>
      <c r="AC100" s="150" t="str">
        <f t="shared" si="28"/>
        <v>YLD FLAG=28</v>
      </c>
      <c r="AD100" s="150" t="str" cm="1">
        <f t="array" ref="AD100">IF(B100="","",_xll.BDP($B100,AD$9,"fill=b"))</f>
        <v>SINKABLE</v>
      </c>
      <c r="AE100" s="256" cm="1">
        <f t="array" ref="AE100">IF(B100="","",IF(ISERROR(_xlfn.SINGLE(_xll.BDH(B100,"PX LAST",AN100,AN100,"DAYS=ALL","PRICING SOURCE",$C$6))*1),_xll.BDP(B100,"PAR AMT"),_xll.BDH(B100,"PX LAST",AN100,AN100,"DAYS=ALL","PRICING SOURCE",$C$6)))</f>
        <v>730</v>
      </c>
      <c r="AF100" s="150" cm="1">
        <f t="array" ref="AF100">IF(B100="","",_xll.BDP($B100,AF$9,"fill=b"))</f>
        <v>9.11</v>
      </c>
      <c r="AG100" s="150"/>
      <c r="AH100" s="190">
        <f>IF(B100="","",IF($AD100="AT MATURITY",$AB100*1,_xll.BADDPERIODS(_xll.BDP($B100,"issue dt"),"numberofperiods",TRUNC(_xll.BDP($B100,"YRS_TO_LONGEST_AVG_LIFE","YLD_YTM_BID",AF100,"SETTLE_DT",U100,AC100),0),"per=y")+(ROUND(MOD(_xll.BDP(B100,"YRS_TO_LONGEST_AVG_LIFE","YLD_YTM_BID",AF100,"SETTLE_DT",U100,AC100),1)*360,0))))</f>
        <v>68947</v>
      </c>
      <c r="AI100" s="150" t="e" cm="1">
        <f t="array" ref="AI100">IF(B100="","",AF100-_xll.BInterpol(_xll.BDP(_xll.BDS("YCGT0372 Index","curve members","CURVE_DATE", $U100,"endcol=1","array=true"),"maturity")*1,_xll.BDH(_xll.BDS("YCGT0372 Index","curve members","CURVE_DATE", $U100,"endcol=1","array=true"),"yld cnv mid",$U100,$U100,"days=all"),AH100,"CUBIC","Extrapolate=LINEAR","SKIP=TRUE","SORT=TRUE","MultiX=Average"))</f>
        <v>#VALUE!</v>
      </c>
      <c r="AJ100" s="189" t="str">
        <f t="shared" si="24"/>
        <v/>
      </c>
      <c r="AK100" s="257" t="str" cm="1">
        <f t="array" ref="AK100">IF(B100="","",_xll.BDP($B100,AK$9,"fill=b"))</f>
        <v>75MM</v>
      </c>
      <c r="AL100" s="257" t="str" cm="1">
        <f t="array" ref="AL100">IF(B100="","",_xll.BDP($B100,AL$9,"fill=b"))</f>
        <v>0</v>
      </c>
      <c r="AM100" s="256" cm="1">
        <f t="array" ref="AM100">IF(B100="","",_xll.BDP($B100,AM$9,"fill=b"))</f>
        <v>730</v>
      </c>
      <c r="AN100" s="150" t="str" cm="1">
        <f t="array" ref="AN100">IF(B100="","",_xll.BDP($B100,AN$9,"fill=b"))</f>
        <v>12/20/2013</v>
      </c>
      <c r="AO100" s="150" t="str" cm="1">
        <f t="array" ref="AO100">IF(B100="","",IF(LEFT(_xlfn.SINGLE(_xll.BDP($B100,AO$9,"fill=b")),1)="#","-",_xll.BDP($B100,AO$9,"fill=b")))</f>
        <v>ITABBA</v>
      </c>
      <c r="AP100" s="150" t="str" cm="1">
        <f t="array" ref="AP100">IF(B100="","",_xll.BDP($B100,AP$9,"fill=b"))</f>
        <v>Energy</v>
      </c>
      <c r="AQ100" s="150" t="str" cm="1">
        <f t="array" ref="AQ100">IF(B100="","",_xll.BDP($B100,AQ$9,"fill=b"))</f>
        <v>Energy-Alternate Sources</v>
      </c>
      <c r="AR100" s="150" t="str" cm="1">
        <f t="array" ref="AR100">IF(B100="","",_xll.BDP($B100,AR$9,"fill=b"))</f>
        <v/>
      </c>
      <c r="AS100" s="150" t="str" cm="1">
        <f t="array" ref="AS100">IF(B100="","",_xll.BDP($B100,AS$9,"fill=b"))</f>
        <v/>
      </c>
      <c r="AT100" s="150" t="str" cm="1">
        <f t="array" ref="AT100">IF(B100="","",_xll.BDP($B100,AT$9,"fill=b"))</f>
        <v>WD</v>
      </c>
      <c r="AU100" s="258" t="str" cm="1">
        <f t="array" ref="AU100">IF(B100="","",_xll.BDP($B100,AU$9,"fill=b"))</f>
        <v>CPN = BZCLVLUE INDEX + 911 BPS. ISSUED UNDER LAW 12.431.</v>
      </c>
    </row>
    <row r="101" spans="2:47" ht="15" x14ac:dyDescent="0.25">
      <c r="B101" s="232" t="s">
        <v>302</v>
      </c>
      <c r="C101" s="150" t="str" cm="1">
        <f t="array" ref="C101">IF(B101="","",_xll.BDP($B101,C$9,"fill=b"))</f>
        <v>OVTL13</v>
      </c>
      <c r="D101" s="150" t="str" cm="1">
        <f t="array" ref="D101">IF(B101="","",_xll.BDP($B101,D$9,"fill=b"))</f>
        <v>OBLSBZ Float 03/15/18</v>
      </c>
      <c r="E101" s="150" t="str" cm="1">
        <f t="array" ref="E101">IF(B101="","",_xll.BDP($B101,E$9,"fill=b"))</f>
        <v>OURO VERDE TRANSP LOCA</v>
      </c>
      <c r="F101" s="150" t="str" cm="1">
        <f t="array" ref="F101">IF(B101="","",IF(LEFT(_xlfn.SINGLE(_xll.BDP($B101,F$9,"fill=b")),1)="#","-",_xll.BDP($B101,F$9,"fill=b")))</f>
        <v>BN CN</v>
      </c>
      <c r="G101" s="150" t="str" cm="1">
        <f t="array" ref="G101">IF(B101="","",_xll.BDP($B101,G$9,"fill=b"))</f>
        <v>BRAZIL DI+SPREAD</v>
      </c>
      <c r="H101" s="150" t="str" cm="1">
        <f t="array" ref="H101">IF(B101="","",_xll.BDP($B101,H$9,"fill=b"))</f>
        <v>OVRA BZDI +240.000</v>
      </c>
      <c r="I101" s="150" t="str" cm="1">
        <f t="array" ref="I101">IF(LEFT(_xlfn.SINGLE(_xll.BDP(B101,"REFERENCE_INDEX")),1)="#",IF(LEFT(_xlfn.SINGLE(_xll.BDP(B101, "RESET_IDX"))&amp;" Index",1)="#","",_xlfn.SINGLE(_xll.BDP(B101, "RESET_IDX"))&amp;" Index"),_xll.BDP(B101,"REFERENCE_INDEX"))</f>
        <v>BZDIOVRA Index</v>
      </c>
      <c r="J101" s="150" cm="1">
        <f t="array" ref="J101">IF(I101="BZDIOVRA Index",IF(_xlfn.SINGLE(_xll.BDP(B101,"FLT_SPREAD"))/100=0,_xll.BDP(B101,"FLT_BENCH_MULTIPLIER"),_xlfn.SINGLE(_xll.BDP(B101,"FLT_SPREAD"))/100),"")</f>
        <v>2.4</v>
      </c>
      <c r="K101" s="150" t="str" cm="1">
        <f t="array" ref="K101">IF(B101="","",IF(LEFT(_xlfn.SINGLE(_xll.BDP($B101,K$9,"fill=b")),1)="#","-",_xll.BDP($B101,K$9,"fill=b")))</f>
        <v>-</v>
      </c>
      <c r="L101" s="233"/>
      <c r="M101" s="234" t="e">
        <f t="shared" si="25"/>
        <v>#VALUE!</v>
      </c>
      <c r="N101" s="252" t="e">
        <f>IF(B101="","",IF(R101="",IF(OR(AD101="SINKABLE",AD101="CALL/SINK"),_xll.BDP(B101,$N$9,$M$9,M101,"PRICING SOURCE",$C$6,"FILL=B"),_xll.BDP(B101,$N$9,$M$9,M101,"PRICING SOURCE",$C$6,"FILL=B")),IF(OR(AD101="SINKABLE",AD101="CALL/SINK"),_xll.BDP(B101,$N$9,$Q$10,S101,$M$9,M101,"PRICING SOURCE",$C$6,"FILL=B"),_xll.BDP(B101,$N$9,$Q$9,S101,$M$9,M101,"PRICING SOURCE",$C$6,"FILL=B"))))</f>
        <v>#VALUE!</v>
      </c>
      <c r="O101" s="235"/>
      <c r="P101" s="236" t="e">
        <f t="shared" si="26"/>
        <v>#VALUE!</v>
      </c>
      <c r="Q101" s="166" t="str">
        <f>IF(ISERROR((IF(OR(AD101="SINKABLE",AD101="CALL/SINK"),_xll.BDP($B101,$Q$10,"fill=b","PRICING_SOURCE",$C$6,$AC101,$N$9,$P101,$M$9,$M101),_xll.BDP($B101,Q$9,"fill=b","PRICING_SOURCE",$C$6,$AC101,$N$9,$P101,$M$9,$M101)))*1),"",IF(OR(AD101="SINKABLE",AD101="CALL/SINK"),_xll.BDP($B101,$Q$10,"fill=b","PRICING_SOURCE",$C$6,$AC101,$N$9,$P101,$M$9,$M101),_xll.BDP($B101,Q$9,"fill=b","PRICING_SOURCE",$C$6,$AC101,$N$9,$P101,$M$9,$M101)))</f>
        <v/>
      </c>
      <c r="R101" s="237"/>
      <c r="S101" s="238" t="str">
        <f t="shared" si="27"/>
        <v/>
      </c>
      <c r="T101" s="239" t="str" cm="1">
        <f t="array" ref="T101">IF(ISERROR((_xlfn.SINGLE(IF(OR(AD101="SINKABLE",AD101="CALL/SINK"),_xll.BDP($B101,$Q$10,"fill=b","PRICING_SOURCE",$C$6,$AC101,$M$9,$U101,"px ask",$AE101),_xll.BDP($B101,Q$9,"fill=b","PRICING_SOURCE",$C$6,$AC101,$M$9,$U101,"px ask",$AE101))))*1),"",IF(OR(AD101="SINKABLE",AD101="CALL/SINK"),_xll.BDP($B101,$Q$10,"fill=b","PRICING_SOURCE",$C$6,$AC101,$M$9,$U101,"px ask",$AE101),_xll.BDP($B101,Q$9,"fill=b","PRICING_SOURCE",$C$6,$AC101,$M$9,$U101,"px ask",$AE101)))</f>
        <v/>
      </c>
      <c r="U101" s="240" t="str">
        <f t="shared" si="22"/>
        <v>20140317</v>
      </c>
      <c r="V101" s="254" t="e" cm="1">
        <f t="array" ref="V101">IF(B101="","",IF(I101="BZDIOVRA Index",IF(OR(AD101="SINKABLE",AD101="CALL/SINK"),_xll.BDP($B101,"PX_ASK",$Q$10,J101,$M$9,M101),_xll.BDP($B101,"PX_"&amp;$H$7,$Q$9,J101,$M$9,M101)),_xll.BDP($B101,"PX_"&amp;$H$7,$Q$9,_xll.BDP(B101,"CPN"),$M$9,M101)))</f>
        <v>#VALUE!</v>
      </c>
      <c r="W101" s="254" t="str">
        <f t="shared" si="23"/>
        <v/>
      </c>
      <c r="X101" s="166" t="e">
        <f>IF(B101="","",IF(OR(AD101="SINKABLE",AD101="CALL/SINK"),_xll.BDP($B101,X$9,"fill=b","PRICING_SOURCE",$C$6,$AC101,$M$9,$M101,$N$9,$P101,$Q$10,$S101),_xll.BDP($B101,X$9,"fill=b","PRICING_SOURCE",$C$6,$AC101,$M$9,$M101,$N$9,$P101,$Q$9,$S101)))</f>
        <v>#VALUE!</v>
      </c>
      <c r="Y101" s="166" t="e">
        <f>IF(B101="","",IF(OR(AD101="SINKABLE",AD101="CALL/SINK"),_xll.BDP($B101,Y$9,"fill=b","PRICING_SOURCE",$C$6,$AC101,$M$9,$M101,$N$9,$P101,$Q$10,$S101),_xll.BDP($B101,Y$9,"fill=b","PRICING_SOURCE",$C$6,$AC101,$M$9,$M101,$N$9,$P101,$Q$9,$S101)))</f>
        <v>#VALUE!</v>
      </c>
      <c r="Z101" s="255" t="e">
        <f>IF(B101="","",IF(OR(AD101="SINKABLE",AD101="CALL/SINK"),_xll.BDP($B101,Z$9,"fill=b","PRICING_SOURCE",$C$6,$AC101,$M$9,$M101,$N$9,$P101,$Q$10,$S101),_xll.BDP($B101,Z$9,"fill=b","PRICING_SOURCE",$C$6,$AC101,$M$9,$M101,$N$9,$P101,$Q$9,$S101)))</f>
        <v>#VALUE!</v>
      </c>
      <c r="AA101" s="166" t="e">
        <f>IF(B101="","",IF(OR(AD101="SINKABLE",AD101="CALL/SINK"),_xll.BDP($B101,AA$9,"fill=b","PRICING_SOURCE",$C$6,$AC101,$M$9,$M101,$N$9,$P101,$Q$10,$S101),_xll.BDP($B101,AA$9,"fill=b","PRICING_SOURCE",$C$6,$AC101,$M$9,$M101,$N$9,$P101,$Q$9,$S101)))</f>
        <v>#VALUE!</v>
      </c>
      <c r="AB101" s="150" t="str" cm="1">
        <f t="array" ref="AB101">IF(B101="","",IF(LEFT(_xlfn.SINGLE(_xll.BDP($B101,AB$9,"fill=b")),1)="#","-",_xll.BDP($B101,AB$9,"fill=b")))</f>
        <v>3/15/2018</v>
      </c>
      <c r="AC101" s="150" t="str">
        <f t="shared" si="28"/>
        <v>YLD FLAG=28</v>
      </c>
      <c r="AD101" s="150" t="str" cm="1">
        <f t="array" ref="AD101">IF(B101="","",_xll.BDP($B101,AD$9,"fill=b"))</f>
        <v>SINKABLE</v>
      </c>
      <c r="AE101" s="256" cm="1">
        <f t="array" ref="AE101">IF(B101="","",IF(ISERROR(_xlfn.SINGLE(_xll.BDH(B101,"PX LAST",AN101,AN101,"DAYS=ALL","PRICING SOURCE",$C$6))*1),_xll.BDP(B101,"PAR AMT"),_xll.BDH(B101,"PX LAST",AN101,AN101,"DAYS=ALL","PRICING SOURCE",$C$6)))</f>
        <v>400</v>
      </c>
      <c r="AF101" s="150" cm="1">
        <f t="array" ref="AF101">IF(B101="","",_xll.BDP($B101,AF$9,"fill=b"))</f>
        <v>0.7009065000000001</v>
      </c>
      <c r="AG101" s="150"/>
      <c r="AH101" s="190">
        <f>IF(B101="","",IF($AD101="AT MATURITY",$AB101*1,_xll.BADDPERIODS(_xll.BDP($B101,"issue dt"),"numberofperiods",TRUNC(_xll.BDP($B101,"YRS_TO_LONGEST_AVG_LIFE","YLD_YTM_BID",AF101,"SETTLE_DT",U101,AC101),0),"per=y")+(ROUND(MOD(_xll.BDP(B101,"YRS_TO_LONGEST_AVG_LIFE","YLD_YTM_BID",AF101,"SETTLE_DT",U101,AC101),1)*360,0))))</f>
        <v>42719</v>
      </c>
      <c r="AI101" s="150" t="e" cm="1">
        <f t="array" ref="AI101">IF(B101="","",AF101-_xll.BInterpol(_xll.BDP(_xll.BDS("YCGT0372 Index","curve members","CURVE_DATE", $U101,"endcol=1","array=true"),"maturity")*1,_xll.BDH(_xll.BDS("YCGT0372 Index","curve members","CURVE_DATE", $U101,"endcol=1","array=true"),"yld cnv mid",$U101,$U101,"days=all"),AH101,"CUBIC","Extrapolate=LINEAR","SKIP=TRUE","SORT=TRUE","MultiX=Average"))</f>
        <v>#VALUE!</v>
      </c>
      <c r="AJ101" s="189">
        <f t="shared" si="24"/>
        <v>2.4</v>
      </c>
      <c r="AK101" s="257" t="str" cm="1">
        <f t="array" ref="AK101">IF(B101="","",_xll.BDP($B101,AK$9,"fill=b"))</f>
        <v>180MM</v>
      </c>
      <c r="AL101" s="257" t="str" cm="1">
        <f t="array" ref="AL101">IF(B101="","",_xll.BDP($B101,AL$9,"fill=b"))</f>
        <v>0</v>
      </c>
      <c r="AM101" s="256" cm="1">
        <f t="array" ref="AM101">IF(B101="","",_xll.BDP($B101,AM$9,"fill=b"))</f>
        <v>400</v>
      </c>
      <c r="AN101" s="150" t="str" cm="1">
        <f t="array" ref="AN101">IF(B101="","",_xll.BDP($B101,AN$9,"fill=b"))</f>
        <v>3/17/2014</v>
      </c>
      <c r="AO101" s="150" t="str" cm="1">
        <f t="array" ref="AO101">IF(B101="","",IF(LEFT(_xlfn.SINGLE(_xll.BDP($B101,AO$9,"fill=b")),1)="#","-",_xll.BDP($B101,AO$9,"fill=b")))</f>
        <v>JOINT LEADS</v>
      </c>
      <c r="AP101" s="150" t="str" cm="1">
        <f t="array" ref="AP101">IF(B101="","",_xll.BDP($B101,AP$9,"fill=b"))</f>
        <v>Consumer, Non-cyclical</v>
      </c>
      <c r="AQ101" s="150" t="str" cm="1">
        <f t="array" ref="AQ101">IF(B101="","",_xll.BDP($B101,AQ$9,"fill=b"))</f>
        <v>Commercial Services</v>
      </c>
      <c r="AR101" s="150" t="str" cm="1">
        <f t="array" ref="AR101">IF(B101="","",_xll.BDP($B101,AR$9,"fill=b"))</f>
        <v/>
      </c>
      <c r="AS101" s="150" t="str" cm="1">
        <f t="array" ref="AS101">IF(B101="","",_xll.BDP($B101,AS$9,"fill=b"))</f>
        <v/>
      </c>
      <c r="AT101" s="150" t="str" cm="1">
        <f t="array" ref="AT101">IF(B101="","",_xll.BDP($B101,AT$9,"fill=b"))</f>
        <v/>
      </c>
      <c r="AU101" s="258" t="str" cm="1">
        <f t="array" ref="AU101">IF(B101="","",_xll.BDP($B101,AU$9,"fill=b"))</f>
        <v>CPN = BZDIOVRA INDEX + 240 BPS.</v>
      </c>
    </row>
    <row r="102" spans="2:47" ht="15" x14ac:dyDescent="0.25">
      <c r="B102" s="232" t="s">
        <v>317</v>
      </c>
      <c r="C102" s="150" t="str" cm="1">
        <f t="array" ref="C102">IF(B102="","",_xll.BDP($B102,C$9,"fill=b"))</f>
        <v>AVIA13</v>
      </c>
      <c r="D102" s="150" t="str" cm="1">
        <f t="array" ref="D102">IF(B102="","",_xll.BDP($B102,D$9,"fill=b"))</f>
        <v>OHLBZ Float 08/20/17</v>
      </c>
      <c r="E102" s="150" t="str" cm="1">
        <f t="array" ref="E102">IF(B102="","",_xll.BDP($B102,E$9,"fill=b"))</f>
        <v>AUTOVIAS SA</v>
      </c>
      <c r="F102" s="150" t="str" cm="1">
        <f t="array" ref="F102">IF(B102="","",IF(LEFT(_xlfn.SINGLE(_xll.BDP($B102,F$9,"fill=b")),1)="#","-",_xll.BDP($B102,F$9,"fill=b")))</f>
        <v>3284233Z IM</v>
      </c>
      <c r="G102" s="150" t="str" cm="1">
        <f t="array" ref="G102">IF(B102="","",_xll.BDP($B102,G$9,"fill=b"))</f>
        <v>BRAZIL DI+SPREAD</v>
      </c>
      <c r="H102" s="150" t="str" cm="1">
        <f t="array" ref="H102">IF(B102="","",_xll.BDP($B102,H$9,"fill=b"))</f>
        <v>OVRA BZDI +83.000</v>
      </c>
      <c r="I102" s="150" t="str" cm="1">
        <f t="array" ref="I102">IF(LEFT(_xlfn.SINGLE(_xll.BDP(B102,"REFERENCE_INDEX")),1)="#",IF(LEFT(_xlfn.SINGLE(_xll.BDP(B102, "RESET_IDX"))&amp;" Index",1)="#","",_xlfn.SINGLE(_xll.BDP(B102, "RESET_IDX"))&amp;" Index"),_xll.BDP(B102,"REFERENCE_INDEX"))</f>
        <v>BZDIOVRA Index</v>
      </c>
      <c r="J102" s="150" cm="1">
        <f t="array" ref="J102">IF(I102="BZDIOVRA Index",IF(_xlfn.SINGLE(_xll.BDP(B102,"FLT_SPREAD"))/100=0,_xll.BDP(B102,"FLT_BENCH_MULTIPLIER"),_xlfn.SINGLE(_xll.BDP(B102,"FLT_SPREAD"))/100),"")</f>
        <v>0.83</v>
      </c>
      <c r="K102" s="150" t="str" cm="1">
        <f t="array" ref="K102">IF(B102="","",IF(LEFT(_xlfn.SINGLE(_xll.BDP($B102,K$9,"fill=b")),1)="#","-",_xll.BDP($B102,K$9,"fill=b")))</f>
        <v>-</v>
      </c>
      <c r="L102" s="233"/>
      <c r="M102" s="234" t="e">
        <f t="shared" si="25"/>
        <v>#VALUE!</v>
      </c>
      <c r="N102" s="252" t="e">
        <f>IF(B102="","",IF(R102="",IF(OR(AD102="SINKABLE",AD102="CALL/SINK"),_xll.BDP(B102,$N$9,$M$9,M102,"PRICING SOURCE",$C$6,"FILL=B"),_xll.BDP(B102,$N$9,$M$9,M102,"PRICING SOURCE",$C$6,"FILL=B")),IF(OR(AD102="SINKABLE",AD102="CALL/SINK"),_xll.BDP(B102,$N$9,$Q$10,S102,$M$9,M102,"PRICING SOURCE",$C$6,"FILL=B"),_xll.BDP(B102,$N$9,$Q$9,S102,$M$9,M102,"PRICING SOURCE",$C$6,"FILL=B"))))</f>
        <v>#VALUE!</v>
      </c>
      <c r="O102" s="235"/>
      <c r="P102" s="236" t="e">
        <f t="shared" si="26"/>
        <v>#VALUE!</v>
      </c>
      <c r="Q102" s="166" t="str">
        <f>IF(ISERROR((IF(OR(AD102="SINKABLE",AD102="CALL/SINK"),_xll.BDP($B102,$Q$10,"fill=b","PRICING_SOURCE",$C$6,$AC102,$N$9,$P102,$M$9,$M102),_xll.BDP($B102,Q$9,"fill=b","PRICING_SOURCE",$C$6,$AC102,$N$9,$P102,$M$9,$M102)))*1),"",IF(OR(AD102="SINKABLE",AD102="CALL/SINK"),_xll.BDP($B102,$Q$10,"fill=b","PRICING_SOURCE",$C$6,$AC102,$N$9,$P102,$M$9,$M102),_xll.BDP($B102,Q$9,"fill=b","PRICING_SOURCE",$C$6,$AC102,$N$9,$P102,$M$9,$M102)))</f>
        <v/>
      </c>
      <c r="R102" s="237"/>
      <c r="S102" s="238" t="str">
        <f t="shared" si="27"/>
        <v/>
      </c>
      <c r="T102" s="239" cm="1">
        <f t="array" ref="T102">IF(ISERROR((_xlfn.SINGLE(IF(OR(AD102="SINKABLE",AD102="CALL/SINK"),_xll.BDP($B102,$Q$10,"fill=b","PRICING_SOURCE",$C$6,$AC102,$M$9,$U102,"px ask",$AE102),_xll.BDP($B102,Q$9,"fill=b","PRICING_SOURCE",$C$6,$AC102,$M$9,$U102,"px ask",$AE102))))*1),"",IF(OR(AD102="SINKABLE",AD102="CALL/SINK"),_xll.BDP($B102,$Q$10,"fill=b","PRICING_SOURCE",$C$6,$AC102,$M$9,$U102,"px ask",$AE102),_xll.BDP($B102,Q$9,"fill=b","PRICING_SOURCE",$C$6,$AC102,$M$9,$U102,"px ask",$AE102)))</f>
        <v>168.672117898344</v>
      </c>
      <c r="U102" s="240" t="str">
        <f t="shared" si="22"/>
        <v>20131226</v>
      </c>
      <c r="V102" s="254" t="e" cm="1">
        <f t="array" ref="V102">IF(B102="","",IF(I102="BZDIOVRA Index",IF(OR(AD102="SINKABLE",AD102="CALL/SINK"),_xll.BDP($B102,"PX_ASK",$Q$10,J102,$M$9,M102),_xll.BDP($B102,"PX_"&amp;$H$7,$Q$9,J102,$M$9,M102)),_xll.BDP($B102,"PX_"&amp;$H$7,$Q$9,_xll.BDP(B102,"CPN"),$M$9,M102)))</f>
        <v>#VALUE!</v>
      </c>
      <c r="W102" s="254" t="str">
        <f t="shared" si="23"/>
        <v/>
      </c>
      <c r="X102" s="166" t="e">
        <f>IF(B102="","",IF(OR(AD102="SINKABLE",AD102="CALL/SINK"),_xll.BDP($B102,X$9,"fill=b","PRICING_SOURCE",$C$6,$AC102,$M$9,$M102,$N$9,$P102,$Q$10,$S102),_xll.BDP($B102,X$9,"fill=b","PRICING_SOURCE",$C$6,$AC102,$M$9,$M102,$N$9,$P102,$Q$9,$S102)))</f>
        <v>#VALUE!</v>
      </c>
      <c r="Y102" s="166" t="e">
        <f>IF(B102="","",IF(OR(AD102="SINKABLE",AD102="CALL/SINK"),_xll.BDP($B102,Y$9,"fill=b","PRICING_SOURCE",$C$6,$AC102,$M$9,$M102,$N$9,$P102,$Q$10,$S102),_xll.BDP($B102,Y$9,"fill=b","PRICING_SOURCE",$C$6,$AC102,$M$9,$M102,$N$9,$P102,$Q$9,$S102)))</f>
        <v>#VALUE!</v>
      </c>
      <c r="Z102" s="255" t="e">
        <f>IF(B102="","",IF(OR(AD102="SINKABLE",AD102="CALL/SINK"),_xll.BDP($B102,Z$9,"fill=b","PRICING_SOURCE",$C$6,$AC102,$M$9,$M102,$N$9,$P102,$Q$10,$S102),_xll.BDP($B102,Z$9,"fill=b","PRICING_SOURCE",$C$6,$AC102,$M$9,$M102,$N$9,$P102,$Q$9,$S102)))</f>
        <v>#VALUE!</v>
      </c>
      <c r="AA102" s="166" t="e">
        <f>IF(B102="","",IF(OR(AD102="SINKABLE",AD102="CALL/SINK"),_xll.BDP($B102,AA$9,"fill=b","PRICING_SOURCE",$C$6,$AC102,$M$9,$M102,$N$9,$P102,$Q$10,$S102),_xll.BDP($B102,AA$9,"fill=b","PRICING_SOURCE",$C$6,$AC102,$M$9,$M102,$N$9,$P102,$Q$9,$S102)))</f>
        <v>#VALUE!</v>
      </c>
      <c r="AB102" s="150" t="str" cm="1">
        <f t="array" ref="AB102">IF(B102="","",IF(LEFT(_xlfn.SINGLE(_xll.BDP($B102,AB$9,"fill=b")),1)="#","-",_xll.BDP($B102,AB$9,"fill=b")))</f>
        <v>8/20/2017</v>
      </c>
      <c r="AC102" s="150" t="str">
        <f t="shared" si="28"/>
        <v>YLD FLAG=28</v>
      </c>
      <c r="AD102" s="150" t="str" cm="1">
        <f t="array" ref="AD102">IF(B102="","",_xll.BDP($B102,AD$9,"fill=b"))</f>
        <v>SINKABLE</v>
      </c>
      <c r="AE102" s="256" cm="1">
        <f t="array" ref="AE102">IF(B102="","",IF(ISERROR(_xlfn.SINGLE(_xll.BDH(B102,"PX LAST",AN102,AN102,"DAYS=ALL","PRICING SOURCE",$C$6))*1),_xll.BDP(B102,"PAR AMT"),_xll.BDH(B102,"PX LAST",AN102,AN102,"DAYS=ALL","PRICING SOURCE",$C$6)))</f>
        <v>1800</v>
      </c>
      <c r="AF102" s="150" cm="1">
        <f t="array" ref="AF102">IF(B102="","",_xll.BDP($B102,AF$9,"fill=b"))</f>
        <v>5.6276880000000018</v>
      </c>
      <c r="AG102" s="150"/>
      <c r="AH102" s="190">
        <f>IF(B102="","",IF($AD102="AT MATURITY",$AB102*1,_xll.BADDPERIODS(_xll.BDP($B102,"issue dt"),"numberofperiods",TRUNC(_xll.BDP($B102,"YRS_TO_LONGEST_AVG_LIFE","YLD_YTM_BID",AF102,"SETTLE_DT",U102,AC102),0),"per=y")+(ROUND(MOD(_xll.BDP(B102,"YRS_TO_LONGEST_AVG_LIFE","YLD_YTM_BID",AF102,"SETTLE_DT",U102,AC102),1)*360,0))))</f>
        <v>42526</v>
      </c>
      <c r="AI102" s="150" t="e" cm="1">
        <f t="array" ref="AI102">IF(B102="","",AF102-_xll.BInterpol(_xll.BDP(_xll.BDS("YCGT0372 Index","curve members","CURVE_DATE", $U102,"endcol=1","array=true"),"maturity")*1,_xll.BDH(_xll.BDS("YCGT0372 Index","curve members","CURVE_DATE", $U102,"endcol=1","array=true"),"yld cnv mid",$U102,$U102,"days=all"),AH102,"CUBIC","Extrapolate=LINEAR","SKIP=TRUE","SORT=TRUE","MultiX=Average"))</f>
        <v>#VALUE!</v>
      </c>
      <c r="AJ102" s="189">
        <f t="shared" si="24"/>
        <v>0.83</v>
      </c>
      <c r="AK102" s="257" t="str" cm="1">
        <f t="array" ref="AK102">IF(B102="","",_xll.BDP($B102,AK$9,"fill=b"))</f>
        <v>300MM</v>
      </c>
      <c r="AL102" s="257" t="str" cm="1">
        <f t="array" ref="AL102">IF(B102="","",_xll.BDP($B102,AL$9,"fill=b"))</f>
        <v>0</v>
      </c>
      <c r="AM102" s="256" cm="1">
        <f t="array" ref="AM102">IF(B102="","",_xll.BDP($B102,AM$9,"fill=b"))</f>
        <v>1800</v>
      </c>
      <c r="AN102" s="150" t="str" cm="1">
        <f t="array" ref="AN102">IF(B102="","",_xll.BDP($B102,AN$9,"fill=b"))</f>
        <v>12/26/2013</v>
      </c>
      <c r="AO102" s="150" t="str" cm="1">
        <f t="array" ref="AO102">IF(B102="","",IF(LEFT(_xlfn.SINGLE(_xll.BDP($B102,AO$9,"fill=b")),1)="#","-",_xll.BDP($B102,AO$9,"fill=b")))</f>
        <v>BTG,ITABBA,HSBC</v>
      </c>
      <c r="AP102" s="150" t="str" cm="1">
        <f t="array" ref="AP102">IF(B102="","",_xll.BDP($B102,AP$9,"fill=b"))</f>
        <v>Consumer, Non-cyclical</v>
      </c>
      <c r="AQ102" s="150" t="str" cm="1">
        <f t="array" ref="AQ102">IF(B102="","",_xll.BDP($B102,AQ$9,"fill=b"))</f>
        <v>Commercial Services</v>
      </c>
      <c r="AR102" s="150" t="str" cm="1">
        <f t="array" ref="AR102">IF(B102="","",_xll.BDP($B102,AR$9,"fill=b"))</f>
        <v/>
      </c>
      <c r="AS102" s="150" t="str" cm="1">
        <f t="array" ref="AS102">IF(B102="","",_xll.BDP($B102,AS$9,"fill=b"))</f>
        <v>WR</v>
      </c>
      <c r="AT102" s="150" t="str" cm="1">
        <f t="array" ref="AT102">IF(B102="","",_xll.BDP($B102,AT$9,"fill=b"))</f>
        <v/>
      </c>
      <c r="AU102" s="258" t="str" cm="1">
        <f t="array" ref="AU102">IF(B102="","",_xll.BDP($B102,AU$9,"fill=b"))</f>
        <v>CPN = BZDIOVRA INDEX +83 BPS.  ISSUED UNDER ICVM 476/09.</v>
      </c>
    </row>
    <row r="103" spans="2:47" ht="15" x14ac:dyDescent="0.25">
      <c r="B103" s="232" t="s">
        <v>250</v>
      </c>
      <c r="C103" s="150" t="str" cm="1">
        <f t="array" ref="C103">IF(B103="","",_xll.BDP($B103,C$9,"fill=b"))</f>
        <v>VALE18</v>
      </c>
      <c r="D103" s="150" t="str" cm="1">
        <f t="array" ref="D103">IF(B103="","",_xll.BDP($B103,D$9,"fill=b"))</f>
        <v>VALEBZ 6.46 01/15/21</v>
      </c>
      <c r="E103" s="150" t="str" cm="1">
        <f t="array" ref="E103">IF(B103="","",_xll.BDP($B103,E$9,"fill=b"))</f>
        <v>VALE SA</v>
      </c>
      <c r="F103" s="150" t="str" cm="1">
        <f t="array" ref="F103">IF(B103="","",IF(LEFT(_xlfn.SINGLE(_xll.BDP($B103,F$9,"fill=b")),1)="#","-",_xll.BDP($B103,F$9,"fill=b")))</f>
        <v>VALE3 BZ</v>
      </c>
      <c r="G103" s="150" t="str" cm="1">
        <f t="array" ref="G103">IF(B103="","",_xll.BDP($B103,G$9,"fill=b"))</f>
        <v>BRAZIL IPCA+SPREAD</v>
      </c>
      <c r="H103" s="150" t="str" cm="1">
        <f t="array" ref="H103">IF(B103="","",_xll.BDP($B103,H$9,"fill=b"))</f>
        <v/>
      </c>
      <c r="I103" s="150" t="str" cm="1">
        <f t="array" ref="I103">IF(LEFT(_xlfn.SINGLE(_xll.BDP(B103,"REFERENCE_INDEX")),1)="#",IF(LEFT(_xlfn.SINGLE(_xll.BDP(B103, "RESET_IDX"))&amp;" Index",1)="#","",_xlfn.SINGLE(_xll.BDP(B103, "RESET_IDX"))&amp;" Index"),_xll.BDP(B103,"REFERENCE_INDEX"))</f>
        <v>BZCLVLUE Index</v>
      </c>
      <c r="J103" s="150" t="str">
        <f>IF(I103="BZDIOVRA Index",IF(_xll.BDP(B103,"FLT_SPREAD")/100=0,_xll.BDP(B103,"FLT_BENCH_MULTIPLIER"),_xll.BDP(B103,"FLT_SPREAD")/100),"")</f>
        <v/>
      </c>
      <c r="K103" s="150" t="str" cm="1">
        <f t="array" ref="K103">IF(B103="","",IF(LEFT(_xlfn.SINGLE(_xll.BDP($B103,K$9,"fill=b")),1)="#","-",_xll.BDP($B103,K$9,"fill=b")))</f>
        <v>-</v>
      </c>
      <c r="L103" s="233"/>
      <c r="M103" s="234" t="e">
        <f t="shared" si="25"/>
        <v>#VALUE!</v>
      </c>
      <c r="N103" s="252" t="e">
        <f>IF(B103="","",IF(R103="",IF(OR(AD103="SINKABLE",AD103="CALL/SINK"),_xll.BDP(B103,$N$9,$M$9,M103,"PRICING SOURCE",$C$6,"FILL=B"),_xll.BDP(B103,$N$9,$M$9,M103,"PRICING SOURCE",$C$6,"FILL=B")),IF(OR(AD103="SINKABLE",AD103="CALL/SINK"),_xll.BDP(B103,$N$9,$Q$10,S103,$M$9,M103,"PRICING SOURCE",$C$6,"FILL=B"),_xll.BDP(B103,$N$9,$Q$9,S103,$M$9,M103,"PRICING SOURCE",$C$6,"FILL=B"))))</f>
        <v>#VALUE!</v>
      </c>
      <c r="O103" s="235"/>
      <c r="P103" s="236" t="e">
        <f t="shared" si="26"/>
        <v>#VALUE!</v>
      </c>
      <c r="Q103" s="166" t="str">
        <f>IF(ISERROR((IF(OR(AD103="SINKABLE",AD103="CALL/SINK"),_xll.BDP($B103,$Q$10,"fill=b","PRICING_SOURCE",$C$6,$AC103,$N$9,$P103,$M$9,$M103),_xll.BDP($B103,Q$9,"fill=b","PRICING_SOURCE",$C$6,$AC103,$N$9,$P103,$M$9,$M103)))*1),"",IF(OR(AD103="SINKABLE",AD103="CALL/SINK"),_xll.BDP($B103,$Q$10,"fill=b","PRICING_SOURCE",$C$6,$AC103,$N$9,$P103,$M$9,$M103),_xll.BDP($B103,Q$9,"fill=b","PRICING_SOURCE",$C$6,$AC103,$N$9,$P103,$M$9,$M103)))</f>
        <v/>
      </c>
      <c r="R103" s="237"/>
      <c r="S103" s="238" t="str">
        <f t="shared" si="27"/>
        <v/>
      </c>
      <c r="T103" s="239" cm="1">
        <f t="array" ref="T103">IF(ISERROR((_xlfn.SINGLE(IF(OR(AD103="SINKABLE",AD103="CALL/SINK"),_xll.BDP($B103,$Q$10,"fill=b","PRICING_SOURCE",$C$6,$AC103,$M$9,$U103,"px ask",$AE103),_xll.BDP($B103,Q$9,"fill=b","PRICING_SOURCE",$C$6,$AC103,$M$9,$U103,"px ask",$AE103))))*1),"",IF(OR(AD103="SINKABLE",AD103="CALL/SINK"),_xll.BDP($B103,$Q$10,"fill=b","PRICING_SOURCE",$C$6,$AC103,$M$9,$U103,"px ask",$AE103),_xll.BDP($B103,Q$9,"fill=b","PRICING_SOURCE",$C$6,$AC103,$M$9,$U103,"px ask",$AE103)))</f>
        <v>82.332766145970382</v>
      </c>
      <c r="U103" s="240" t="str">
        <f t="shared" si="22"/>
        <v>20140210</v>
      </c>
      <c r="V103" s="254" t="e" cm="1">
        <f t="array" ref="V103">IF(B103="","",IF(I103="BZDIOVRA Index",IF(OR(AD103="SINKABLE",AD103="CALL/SINK"),_xll.BDP($B103,"PX_ASK",$Q$10,J103,$M$9,M103),_xll.BDP($B103,"PX_"&amp;$H$7,$Q$9,J103,$M$9,M103)),_xll.BDP($B103,"PX_"&amp;$H$7,$Q$9,_xll.BDP(B103,"CPN"),$M$9,M103)))</f>
        <v>#VALUE!</v>
      </c>
      <c r="W103" s="254" t="str">
        <f t="shared" si="23"/>
        <v/>
      </c>
      <c r="X103" s="166" t="e">
        <f>IF(B103="","",IF(OR(AD103="SINKABLE",AD103="CALL/SINK"),_xll.BDP($B103,X$9,"fill=b","PRICING_SOURCE",$C$6,$AC103,$M$9,$M103,$N$9,$P103,$Q$10,$S103),_xll.BDP($B103,X$9,"fill=b","PRICING_SOURCE",$C$6,$AC103,$M$9,$M103,$N$9,$P103,$Q$9,$S103)))</f>
        <v>#VALUE!</v>
      </c>
      <c r="Y103" s="166" t="e">
        <f>IF(B103="","",IF(OR(AD103="SINKABLE",AD103="CALL/SINK"),_xll.BDP($B103,Y$9,"fill=b","PRICING_SOURCE",$C$6,$AC103,$M$9,$M103,$N$9,$P103,$Q$10,$S103),_xll.BDP($B103,Y$9,"fill=b","PRICING_SOURCE",$C$6,$AC103,$M$9,$M103,$N$9,$P103,$Q$9,$S103)))</f>
        <v>#VALUE!</v>
      </c>
      <c r="Z103" s="255" t="e">
        <f>IF(B103="","",IF(OR(AD103="SINKABLE",AD103="CALL/SINK"),_xll.BDP($B103,Z$9,"fill=b","PRICING_SOURCE",$C$6,$AC103,$M$9,$M103,$N$9,$P103,$Q$10,$S103),_xll.BDP($B103,Z$9,"fill=b","PRICING_SOURCE",$C$6,$AC103,$M$9,$M103,$N$9,$P103,$Q$9,$S103)))</f>
        <v>#VALUE!</v>
      </c>
      <c r="AA103" s="166" t="e">
        <f>IF(B103="","",IF(OR(AD103="SINKABLE",AD103="CALL/SINK"),_xll.BDP($B103,AA$9,"fill=b","PRICING_SOURCE",$C$6,$AC103,$M$9,$M103,$N$9,$P103,$Q$10,$S103),_xll.BDP($B103,AA$9,"fill=b","PRICING_SOURCE",$C$6,$AC103,$M$9,$M103,$N$9,$P103,$Q$9,$S103)))</f>
        <v>#VALUE!</v>
      </c>
      <c r="AB103" s="150" t="str" cm="1">
        <f t="array" ref="AB103">IF(B103="","",IF(LEFT(_xlfn.SINGLE(_xll.BDP($B103,AB$9,"fill=b")),1)="#","-",_xll.BDP($B103,AB$9,"fill=b")))</f>
        <v>1/15/2021</v>
      </c>
      <c r="AC103" s="150" t="str">
        <f t="shared" si="28"/>
        <v>YLD FLAG=28</v>
      </c>
      <c r="AD103" s="150" t="str" cm="1">
        <f t="array" ref="AD103">IF(B103="","",_xll.BDP($B103,AD$9,"fill=b"))</f>
        <v>SINKABLE</v>
      </c>
      <c r="AE103" s="256" cm="1">
        <f t="array" ref="AE103">IF(B103="","",IF(ISERROR(_xlfn.SINGLE(_xll.BDH(B103,"PX LAST",AN103,AN103,"DAYS=ALL","PRICING SOURCE",$C$6))*1),_xll.BDP(B103,"PAR AMT"),_xll.BDH(B103,"PX LAST",AN103,AN103,"DAYS=ALL","PRICING SOURCE",$C$6)))</f>
        <v>500</v>
      </c>
      <c r="AF103" s="150" cm="1">
        <f t="array" ref="AF103">IF(B103="","",_xll.BDP($B103,AF$9,"fill=b"))</f>
        <v>6.46</v>
      </c>
      <c r="AG103" s="150"/>
      <c r="AH103" s="190">
        <f>IF(B103="","",IF($AD103="AT MATURITY",$AB103*1,_xll.BADDPERIODS(_xll.BDP($B103,"issue dt"),"numberofperiods",TRUNC(_xll.BDP($B103,"YRS_TO_LONGEST_AVG_LIFE","YLD_YTM_BID",AF103,"SETTLE_DT",U103,AC103),0),"per=y")+(ROUND(MOD(_xll.BDP(B103,"YRS_TO_LONGEST_AVG_LIFE","YLD_YTM_BID",AF103,"SETTLE_DT",U103,AC103),1)*360,0))))</f>
        <v>65157</v>
      </c>
      <c r="AI103" s="150" t="e">
        <f t="array" ref="AI103">IF(B103="","",AF103-_xll.BInterpol(_xll.BDP(_xll.BDS("YCGT0372 Index","curve members","CURVE_DATE", $U103,"endcol=1","array=true"),"maturity")*1,_xll.BDH(_xll.BDS("YCGT0372 Index","curve members","CURVE_DATE", $U103,"endcol=1","array=true"),"yld cnv mid",$U103,$U103,"days=all"),AH103,"CUBIC","Extrapolate=LINEAR","SKIP=TRUE","SORT=TRUE","MultiX=Average"))</f>
        <v>#VALUE!</v>
      </c>
      <c r="AJ103" s="189" t="str">
        <f t="shared" si="24"/>
        <v/>
      </c>
      <c r="AK103" s="257" t="str" cm="1">
        <f t="array" ref="AK103">IF(B103="","",_xll.BDP($B103,AK$9,"fill=b"))</f>
        <v>600MM</v>
      </c>
      <c r="AL103" s="257" t="str" cm="1">
        <f t="array" ref="AL103">IF(B103="","",_xll.BDP($B103,AL$9,"fill=b"))</f>
        <v>0</v>
      </c>
      <c r="AM103" s="256" cm="1">
        <f t="array" ref="AM103">IF(B103="","",_xll.BDP($B103,AM$9,"fill=b"))</f>
        <v>500</v>
      </c>
      <c r="AN103" s="150" t="str" cm="1">
        <f t="array" ref="AN103">IF(B103="","",_xll.BDP($B103,AN$9,"fill=b"))</f>
        <v>2/10/2014</v>
      </c>
      <c r="AO103" s="150" t="str" cm="1">
        <f t="array" ref="AO103">IF(B103="","",IF(LEFT(_xlfn.SINGLE(_xll.BDP($B103,AO$9,"fill=b")),1)="#","-",_xll.BDP($B103,AO$9,"fill=b")))</f>
        <v>JOINT LEADS</v>
      </c>
      <c r="AP103" s="150" t="str" cm="1">
        <f t="array" ref="AP103">IF(B103="","",_xll.BDP($B103,AP$9,"fill=b"))</f>
        <v>Basic Materials</v>
      </c>
      <c r="AQ103" s="150" t="str" cm="1">
        <f t="array" ref="AQ103">IF(B103="","",_xll.BDP($B103,AQ$9,"fill=b"))</f>
        <v>Iron/Steel</v>
      </c>
      <c r="AR103" s="150" t="str" cm="1">
        <f t="array" ref="AR103">IF(B103="","",_xll.BDP($B103,AR$9,"fill=b"))</f>
        <v>NR</v>
      </c>
      <c r="AS103" s="150" t="str" cm="1">
        <f t="array" ref="AS103">IF(B103="","",_xll.BDP($B103,AS$9,"fill=b"))</f>
        <v>WR</v>
      </c>
      <c r="AT103" s="150" t="str" cm="1">
        <f t="array" ref="AT103">IF(B103="","",_xll.BDP($B103,AT$9,"fill=b"))</f>
        <v>NR</v>
      </c>
      <c r="AU103" s="258" t="str" cm="1">
        <f t="array" ref="AU103">IF(B103="","",_xll.BDP($B103,AU$9,"fill=b"))</f>
        <v>CPN = BZCLVLUE INDEX + 646 BPS. ISSUED UNDER LAW 12.431.</v>
      </c>
    </row>
    <row r="104" spans="2:47" ht="15" x14ac:dyDescent="0.25">
      <c r="B104" s="232" t="s">
        <v>257</v>
      </c>
      <c r="C104" s="150" t="str" cm="1">
        <f t="array" ref="C104">IF(B104="","",_xll.BDP($B104,C$9,"fill=b"))</f>
        <v>VALE28</v>
      </c>
      <c r="D104" s="150" t="str" cm="1">
        <f t="array" ref="D104">IF(B104="","",_xll.BDP($B104,D$9,"fill=b"))</f>
        <v>VALEBZ 6.57 01/15/24</v>
      </c>
      <c r="E104" s="150" t="str" cm="1">
        <f t="array" ref="E104">IF(B104="","",_xll.BDP($B104,E$9,"fill=b"))</f>
        <v>VALE SA</v>
      </c>
      <c r="F104" s="150" t="str" cm="1">
        <f t="array" ref="F104">IF(B104="","",IF(LEFT(_xlfn.SINGLE(_xll.BDP($B104,F$9,"fill=b")),1)="#","-",_xll.BDP($B104,F$9,"fill=b")))</f>
        <v>VALE3 BZ</v>
      </c>
      <c r="G104" s="150" t="str" cm="1">
        <f t="array" ref="G104">IF(B104="","",_xll.BDP($B104,G$9,"fill=b"))</f>
        <v>BRAZIL IPCA+SPREAD</v>
      </c>
      <c r="H104" s="150" t="str" cm="1">
        <f t="array" ref="H104">IF(B104="","",_xll.BDP($B104,H$9,"fill=b"))</f>
        <v/>
      </c>
      <c r="I104" s="150" t="str" cm="1">
        <f t="array" ref="I104">IF(LEFT(_xlfn.SINGLE(_xll.BDP(B104,"REFERENCE_INDEX")),1)="#",IF(LEFT(_xlfn.SINGLE(_xll.BDP(B104, "RESET_IDX"))&amp;" Index",1)="#","",_xlfn.SINGLE(_xll.BDP(B104, "RESET_IDX"))&amp;" Index"),_xll.BDP(B104,"REFERENCE_INDEX"))</f>
        <v>BZCLVLUE Index</v>
      </c>
      <c r="J104" s="150" t="str">
        <f>IF(I104="BZDIOVRA Index",IF(_xll.BDP(B104,"FLT_SPREAD")/100=0,_xll.BDP(B104,"FLT_BENCH_MULTIPLIER"),_xll.BDP(B104,"FLT_SPREAD")/100),"")</f>
        <v/>
      </c>
      <c r="K104" s="150" t="str" cm="1">
        <f t="array" ref="K104">IF(B104="","",IF(LEFT(_xlfn.SINGLE(_xll.BDP($B104,K$9,"fill=b")),1)="#","-",_xll.BDP($B104,K$9,"fill=b")))</f>
        <v>-</v>
      </c>
      <c r="L104" s="233"/>
      <c r="M104" s="234" t="e">
        <f t="shared" si="25"/>
        <v>#VALUE!</v>
      </c>
      <c r="N104" s="252" t="e">
        <f>IF(B104="","",IF(R104="",IF(OR(AD104="SINKABLE",AD104="CALL/SINK"),_xll.BDP(B104,$N$9,$M$9,M104,"PRICING SOURCE",$C$6,"FILL=B"),_xll.BDP(B104,$N$9,$M$9,M104,"PRICING SOURCE",$C$6,"FILL=B")),IF(OR(AD104="SINKABLE",AD104="CALL/SINK"),_xll.BDP(B104,$N$9,$Q$10,S104,$M$9,M104,"PRICING SOURCE",$C$6,"FILL=B"),_xll.BDP(B104,$N$9,$Q$9,S104,$M$9,M104,"PRICING SOURCE",$C$6,"FILL=B"))))</f>
        <v>#VALUE!</v>
      </c>
      <c r="O104" s="235"/>
      <c r="P104" s="236" t="e">
        <f t="shared" si="26"/>
        <v>#VALUE!</v>
      </c>
      <c r="Q104" s="166" t="str">
        <f>IF(ISERROR((IF(OR(AD104="SINKABLE",AD104="CALL/SINK"),_xll.BDP($B104,$Q$10,"fill=b","PRICING_SOURCE",$C$6,$AC104,$N$9,$P104,$M$9,$M104),_xll.BDP($B104,Q$9,"fill=b","PRICING_SOURCE",$C$6,$AC104,$N$9,$P104,$M$9,$M104)))*1),"",IF(OR(AD104="SINKABLE",AD104="CALL/SINK"),_xll.BDP($B104,$Q$10,"fill=b","PRICING_SOURCE",$C$6,$AC104,$N$9,$P104,$M$9,$M104),_xll.BDP($B104,Q$9,"fill=b","PRICING_SOURCE",$C$6,$AC104,$N$9,$P104,$M$9,$M104)))</f>
        <v/>
      </c>
      <c r="R104" s="237"/>
      <c r="S104" s="238" t="str">
        <f t="shared" si="27"/>
        <v/>
      </c>
      <c r="T104" s="239" cm="1">
        <f t="array" ref="T104">IF(ISERROR((_xlfn.SINGLE(IF(OR(AD104="SINKABLE",AD104="CALL/SINK"),_xll.BDP($B104,$Q$10,"fill=b","PRICING_SOURCE",$C$6,$AC104,$M$9,$U104,"px ask",$AE104),_xll.BDP($B104,Q$9,"fill=b","PRICING_SOURCE",$C$6,$AC104,$M$9,$U104,"px ask",$AE104))))*1),"",IF(OR(AD104="SINKABLE",AD104="CALL/SINK"),_xll.BDP($B104,$Q$10,"fill=b","PRICING_SOURCE",$C$6,$AC104,$M$9,$U104,"px ask",$AE104),_xll.BDP($B104,Q$9,"fill=b","PRICING_SOURCE",$C$6,$AC104,$M$9,$U104,"px ask",$AE104)))</f>
        <v>72.119432467553892</v>
      </c>
      <c r="U104" s="240" t="str">
        <f t="shared" si="22"/>
        <v>20140210</v>
      </c>
      <c r="V104" s="254" t="e" cm="1">
        <f t="array" ref="V104">IF(B104="","",IF(I104="BZDIOVRA Index",IF(OR(AD104="SINKABLE",AD104="CALL/SINK"),_xll.BDP($B104,"PX_ASK",$Q$10,J104,$M$9,M104),_xll.BDP($B104,"PX_"&amp;$H$7,$Q$9,J104,$M$9,M104)),_xll.BDP($B104,"PX_"&amp;$H$7,$Q$9,_xll.BDP(B104,"CPN"),$M$9,M104)))</f>
        <v>#VALUE!</v>
      </c>
      <c r="W104" s="254" t="str">
        <f t="shared" si="23"/>
        <v/>
      </c>
      <c r="X104" s="166" t="e">
        <f>IF(B104="","",IF(OR(AD104="SINKABLE",AD104="CALL/SINK"),_xll.BDP($B104,X$9,"fill=b","PRICING_SOURCE",$C$6,$AC104,$M$9,$M104,$N$9,$P104,$Q$10,$S104),_xll.BDP($B104,X$9,"fill=b","PRICING_SOURCE",$C$6,$AC104,$M$9,$M104,$N$9,$P104,$Q$9,$S104)))</f>
        <v>#VALUE!</v>
      </c>
      <c r="Y104" s="166" t="e">
        <f>IF(B104="","",IF(OR(AD104="SINKABLE",AD104="CALL/SINK"),_xll.BDP($B104,Y$9,"fill=b","PRICING_SOURCE",$C$6,$AC104,$M$9,$M104,$N$9,$P104,$Q$10,$S104),_xll.BDP($B104,Y$9,"fill=b","PRICING_SOURCE",$C$6,$AC104,$M$9,$M104,$N$9,$P104,$Q$9,$S104)))</f>
        <v>#VALUE!</v>
      </c>
      <c r="Z104" s="255" t="e">
        <f>IF(B104="","",IF(OR(AD104="SINKABLE",AD104="CALL/SINK"),_xll.BDP($B104,Z$9,"fill=b","PRICING_SOURCE",$C$6,$AC104,$M$9,$M104,$N$9,$P104,$Q$10,$S104),_xll.BDP($B104,Z$9,"fill=b","PRICING_SOURCE",$C$6,$AC104,$M$9,$M104,$N$9,$P104,$Q$9,$S104)))</f>
        <v>#VALUE!</v>
      </c>
      <c r="AA104" s="166" t="e">
        <f>IF(B104="","",IF(OR(AD104="SINKABLE",AD104="CALL/SINK"),_xll.BDP($B104,AA$9,"fill=b","PRICING_SOURCE",$C$6,$AC104,$M$9,$M104,$N$9,$P104,$Q$10,$S104),_xll.BDP($B104,AA$9,"fill=b","PRICING_SOURCE",$C$6,$AC104,$M$9,$M104,$N$9,$P104,$Q$9,$S104)))</f>
        <v>#VALUE!</v>
      </c>
      <c r="AB104" s="150" t="str" cm="1">
        <f t="array" ref="AB104">IF(B104="","",IF(LEFT(_xlfn.SINGLE(_xll.BDP($B104,AB$9,"fill=b")),1)="#","-",_xll.BDP($B104,AB$9,"fill=b")))</f>
        <v>1/15/2024</v>
      </c>
      <c r="AC104" s="150" t="str">
        <f t="shared" si="28"/>
        <v>YLD FLAG=28</v>
      </c>
      <c r="AD104" s="150" t="str" cm="1">
        <f t="array" ref="AD104">IF(B104="","",_xll.BDP($B104,AD$9,"fill=b"))</f>
        <v>SINKABLE</v>
      </c>
      <c r="AE104" s="256" cm="1">
        <f t="array" ref="AE104">IF(B104="","",IF(ISERROR(_xlfn.SINGLE(_xll.BDH(B104,"PX LAST",AN104,AN104,"DAYS=ALL","PRICING SOURCE",$C$6))*1),_xll.BDP(B104,"PAR AMT"),_xll.BDH(B104,"PX LAST",AN104,AN104,"DAYS=ALL","PRICING SOURCE",$C$6)))</f>
        <v>333.40000000000003</v>
      </c>
      <c r="AF104" s="150" cm="1">
        <f t="array" ref="AF104">IF(B104="","",_xll.BDP($B104,AF$9,"fill=b"))</f>
        <v>6.57</v>
      </c>
      <c r="AG104" s="150"/>
      <c r="AH104" s="190">
        <f>IF(B104="","",IF($AD104="AT MATURITY",$AB104*1,_xll.BADDPERIODS(_xll.BDP($B104,"issue dt"),"numberofperiods",TRUNC(_xll.BDP($B104,"YRS_TO_LONGEST_AVG_LIFE","YLD_YTM_BID",AF104,"SETTLE_DT",U104,AC104),0),"per=y")+(ROUND(MOD(_xll.BDP(B104,"YRS_TO_LONGEST_AVG_LIFE","YLD_YTM_BID",AF104,"SETTLE_DT",U104,AC104),1)*360,0))))</f>
        <v>74295</v>
      </c>
      <c r="AI104" s="150" t="e" cm="1">
        <f t="array" ref="AI104">IF(B104="","",AF104-_xll.BInterpol(_xll.BDP(_xll.BDS("YCGT0372 Index","curve members","CURVE_DATE", $U104,"endcol=1","array=true"),"maturity")*1,_xll.BDH(_xll.BDS("YCGT0372 Index","curve members","CURVE_DATE", $U104,"endcol=1","array=true"),"yld cnv mid",$U104,$U104,"days=all"),AH104,"CUBIC","Extrapolate=LINEAR","SKIP=TRUE","SORT=TRUE","MultiX=Average"))</f>
        <v>#VALUE!</v>
      </c>
      <c r="AJ104" s="189" t="str">
        <f t="shared" si="24"/>
        <v/>
      </c>
      <c r="AK104" s="257" t="str" cm="1">
        <f t="array" ref="AK104">IF(B104="","",_xll.BDP($B104,AK$9,"fill=b"))</f>
        <v>150MM</v>
      </c>
      <c r="AL104" s="257" t="str" cm="1">
        <f t="array" ref="AL104">IF(B104="","",_xll.BDP($B104,AL$9,"fill=b"))</f>
        <v>0</v>
      </c>
      <c r="AM104" s="256" cm="1">
        <f t="array" ref="AM104">IF(B104="","",_xll.BDP($B104,AM$9,"fill=b"))</f>
        <v>333.40000000000003</v>
      </c>
      <c r="AN104" s="150" t="str" cm="1">
        <f t="array" ref="AN104">IF(B104="","",_xll.BDP($B104,AN$9,"fill=b"))</f>
        <v>2/10/2014</v>
      </c>
      <c r="AO104" s="150" t="str" cm="1">
        <f t="array" ref="AO104">IF(B104="","",IF(LEFT(_xlfn.SINGLE(_xll.BDP($B104,AO$9,"fill=b")),1)="#","-",_xll.BDP($B104,AO$9,"fill=b")))</f>
        <v>JOINT LEADS</v>
      </c>
      <c r="AP104" s="150" t="str" cm="1">
        <f t="array" ref="AP104">IF(B104="","",_xll.BDP($B104,AP$9,"fill=b"))</f>
        <v>Basic Materials</v>
      </c>
      <c r="AQ104" s="150" t="str" cm="1">
        <f t="array" ref="AQ104">IF(B104="","",_xll.BDP($B104,AQ$9,"fill=b"))</f>
        <v>Iron/Steel</v>
      </c>
      <c r="AR104" s="150" t="str" cm="1">
        <f t="array" ref="AR104">IF(B104="","",_xll.BDP($B104,AR$9,"fill=b"))</f>
        <v>NR</v>
      </c>
      <c r="AS104" s="150" t="str" cm="1">
        <f t="array" ref="AS104">IF(B104="","",_xll.BDP($B104,AS$9,"fill=b"))</f>
        <v>WR</v>
      </c>
      <c r="AT104" s="150" t="str" cm="1">
        <f t="array" ref="AT104">IF(B104="","",_xll.BDP($B104,AT$9,"fill=b"))</f>
        <v>NR</v>
      </c>
      <c r="AU104" s="258" t="str" cm="1">
        <f t="array" ref="AU104">IF(B104="","",_xll.BDP($B104,AU$9,"fill=b"))</f>
        <v>CPN = BZCLVLUE INDEX + 657 BPS. ISSUED UNDER LAW 12.431.</v>
      </c>
    </row>
    <row r="105" spans="2:47" ht="15" x14ac:dyDescent="0.25">
      <c r="B105" s="232" t="s">
        <v>264</v>
      </c>
      <c r="C105" s="150" t="str" cm="1">
        <f t="array" ref="C105">IF(B105="","",_xll.BDP($B105,C$9,"fill=b"))</f>
        <v>VALE48</v>
      </c>
      <c r="D105" s="150" t="str" cm="1">
        <f t="array" ref="D105">IF(B105="","",_xll.BDP($B105,D$9,"fill=b"))</f>
        <v>VALEBZ 6.78 01/15/29</v>
      </c>
      <c r="E105" s="150" t="str" cm="1">
        <f t="array" ref="E105">IF(B105="","",_xll.BDP($B105,E$9,"fill=b"))</f>
        <v>VALE SA</v>
      </c>
      <c r="F105" s="150" t="str" cm="1">
        <f t="array" ref="F105">IF(B105="","",IF(LEFT(_xlfn.SINGLE(_xll.BDP($B105,F$9,"fill=b")),1)="#","-",_xll.BDP($B105,F$9,"fill=b")))</f>
        <v>VALE3 BZ</v>
      </c>
      <c r="G105" s="150" t="str" cm="1">
        <f t="array" ref="G105">IF(B105="","",_xll.BDP($B105,G$9,"fill=b"))</f>
        <v>BRAZIL IPCA+SPREAD</v>
      </c>
      <c r="H105" s="150" t="str" cm="1">
        <f t="array" ref="H105">IF(B105="","",_xll.BDP($B105,H$9,"fill=b"))</f>
        <v/>
      </c>
      <c r="I105" s="150" t="str" cm="1">
        <f t="array" ref="I105">IF(LEFT(_xlfn.SINGLE(_xll.BDP(B105,"REFERENCE_INDEX")),1)="#",IF(LEFT(_xlfn.SINGLE(_xll.BDP(B105, "RESET_IDX"))&amp;" Index",1)="#","",_xlfn.SINGLE(_xll.BDP(B105, "RESET_IDX"))&amp;" Index"),_xll.BDP(B105,"REFERENCE_INDEX"))</f>
        <v>BZCLVLUE Index</v>
      </c>
      <c r="J105" s="150" t="str">
        <f>IF(I105="BZDIOVRA Index",IF(_xll.BDP(B105,"FLT_SPREAD")/100=0,_xll.BDP(B105,"FLT_BENCH_MULTIPLIER"),_xll.BDP(B105,"FLT_SPREAD")/100),"")</f>
        <v/>
      </c>
      <c r="K105" s="150" t="str" cm="1">
        <f t="array" ref="K105">IF(B105="","",IF(LEFT(_xlfn.SINGLE(_xll.BDP($B105,K$9,"fill=b")),1)="#","-",_xll.BDP($B105,K$9,"fill=b")))</f>
        <v>6/23/2025</v>
      </c>
      <c r="L105" s="233"/>
      <c r="M105" s="234" t="str">
        <f t="shared" si="25"/>
        <v>20250623</v>
      </c>
      <c r="N105" s="252" cm="1">
        <f t="array" ref="N105">IF(B105="","",IF(R105="",IF(OR(AD105="SINKABLE",AD105="CALL/SINK"),_xll.BDP(B105,$N$9,$M$9,M105,"PRICING SOURCE",$C$6,"FILL=B"),_xll.BDP(B105,$N$9,$M$9,M105,"PRICING SOURCE",$C$6,"FILL=B")),IF(OR(AD105="SINKABLE",AD105="CALL/SINK"),_xll.BDP(B105,$N$9,$Q$10,S105,$M$9,M105,"PRICING SOURCE",$C$6,"FILL=B"),_xll.BDP(B105,$N$9,$Q$9,S105,$M$9,M105,"PRICING SOURCE",$C$6,"FILL=B"))))</f>
        <v>1264.3362400000001</v>
      </c>
      <c r="O105" s="235"/>
      <c r="P105" s="236">
        <f t="shared" si="26"/>
        <v>1264.3362400000001</v>
      </c>
      <c r="Q105" s="166" cm="1">
        <f t="array" ref="Q105">IF(ISERROR((_xlfn.SINGLE(IF(OR(AD105="SINKABLE",AD105="CALL/SINK"),_xll.BDP($B105,$Q$10,"fill=b","PRICING_SOURCE",$C$6,$AC105,$N$9,$P105,$M$9,$M105),_xll.BDP($B105,Q$9,"fill=b","PRICING_SOURCE",$C$6,$AC105,$N$9,$P105,$M$9,$M105))))*1),"",IF(OR(AD105="SINKABLE",AD105="CALL/SINK"),_xll.BDP($B105,$Q$10,"fill=b","PRICING_SOURCE",$C$6,$AC105,$N$9,$P105,$M$9,$M105),_xll.BDP($B105,Q$9,"fill=b","PRICING_SOURCE",$C$6,$AC105,$N$9,$P105,$M$9,$M105)))</f>
        <v>8.5659000916847159</v>
      </c>
      <c r="R105" s="237"/>
      <c r="S105" s="238">
        <f t="shared" si="27"/>
        <v>8.5659000916847159</v>
      </c>
      <c r="T105" s="239" cm="1">
        <f t="array" ref="T105">IF(ISERROR((_xlfn.SINGLE(IF(OR(AD105="SINKABLE",AD105="CALL/SINK"),_xll.BDP($B105,$Q$10,"fill=b","PRICING_SOURCE",$C$6,$AC105,$M$9,$U105,"px ask",$AE105),_xll.BDP($B105,Q$9,"fill=b","PRICING_SOURCE",$C$6,$AC105,$M$9,$U105,"px ask",$AE105))))*1),"",IF(OR(AD105="SINKABLE",AD105="CALL/SINK"),_xll.BDP($B105,$Q$10,"fill=b","PRICING_SOURCE",$C$6,$AC105,$M$9,$U105,"px ask",$AE105),_xll.BDP($B105,Q$9,"fill=b","PRICING_SOURCE",$C$6,$AC105,$M$9,$U105,"px ask",$AE105)))</f>
        <v>4.0143345082518431</v>
      </c>
      <c r="U105" s="240" t="str">
        <f t="shared" si="22"/>
        <v>20140210</v>
      </c>
      <c r="V105" s="254" cm="1">
        <f t="array" ref="V105">IF(B105="","",IF(I105="BZDIOVRA Index",IF(OR(AD105="SINKABLE",AD105="CALL/SINK"),_xll.BDP($B105,"PX_ASK",$Q$10,J105,$M$9,M105),_xll.BDP($B105,"PX_"&amp;$H$7,$Q$9,J105,$M$9,M105)),_xll.BDP($B105,"PX_"&amp;$H$7,$Q$9,_xll.BDP(B105,"CPN"),$M$9,M105)))</f>
        <v>1956.8467800000001</v>
      </c>
      <c r="W105" s="254">
        <f t="shared" si="23"/>
        <v>64.610896107052383</v>
      </c>
      <c r="X105" s="166" cm="1">
        <f t="array" ref="X105">IF(B105="","",IF(OR(AD105="SINKABLE",AD105="CALL/SINK"),_xll.BDP($B105,X$9,"fill=b","PRICING_SOURCE",$C$6,$AC105,$M$9,$M105,$N$9,$P105,$Q$10,$S105),_xll.BDP($B105,X$9,"fill=b","PRICING_SOURCE",$C$6,$AC105,$M$9,$M105,$N$9,$P105,$Q$9,$S105)))</f>
        <v>1.8904205061270289</v>
      </c>
      <c r="Y105" s="166" cm="1">
        <f t="array" ref="Y105">IF(B105="","",IF(OR(AD105="SINKABLE",AD105="CALL/SINK"),_xll.BDP($B105,Y$9,"fill=b","PRICING_SOURCE",$C$6,$AC105,$M$9,$M105,$N$9,$P105,$Q$10,$S105),_xll.BDP($B105,Y$9,"fill=b","PRICING_SOURCE",$C$6,$AC105,$M$9,$M105,$N$9,$P105,$Q$9,$S105)))</f>
        <v>1.7412654461011201</v>
      </c>
      <c r="Z105" s="255" cm="1">
        <f t="array" ref="Z105">IF(B105="","",IF(OR(AD105="SINKABLE",AD105="CALL/SINK"),_xll.BDP($B105,Z$9,"fill=b","PRICING_SOURCE",$C$6,$AC105,$M$9,$M105,$N$9,$P105,$Q$10,$S105),_xll.BDP($B105,Z$9,"fill=b","PRICING_SOURCE",$C$6,$AC105,$M$9,$M105,$N$9,$P105,$Q$9,$S105)))</f>
        <v>5.6155948008777205E-2</v>
      </c>
      <c r="AA105" s="166" cm="1">
        <f t="array" ref="AA105">IF(B105="","",IF(OR(AD105="SINKABLE",AD105="CALL/SINK"),_xll.BDP($B105,AA$9,"fill=b","PRICING_SOURCE",$C$6,$AC105,$M$9,$M105,$N$9,$P105,$Q$10,$S105),_xll.BDP($B105,AA$9,"fill=b","PRICING_SOURCE",$C$6,$AC105,$M$9,$M105,$N$9,$P105,$Q$9,$S105)))</f>
        <v>22.015450000003511</v>
      </c>
      <c r="AB105" s="150" t="str" cm="1">
        <f t="array" ref="AB105">IF(B105="","",IF(LEFT(_xlfn.SINGLE(_xll.BDP($B105,AB$9,"fill=b")),1)="#","-",_xll.BDP($B105,AB$9,"fill=b")))</f>
        <v>1/15/2029</v>
      </c>
      <c r="AC105" s="150" t="str">
        <f t="shared" si="28"/>
        <v>YLD FLAG=28</v>
      </c>
      <c r="AD105" s="150" t="str" cm="1">
        <f t="array" ref="AD105">IF(B105="","",_xll.BDP($B105,AD$9,"fill=b"))</f>
        <v>SINKABLE</v>
      </c>
      <c r="AE105" s="256" cm="1">
        <f t="array" ref="AE105">IF(B105="","",IF(ISERROR(_xlfn.SINGLE(_xll.BDH(B105,"PX LAST",AN105,AN105,"DAYS=ALL","PRICING SOURCE",$C$6))*1),_xll.BDP(B105,"PAR AMT"),_xll.BDH(B105,"PX LAST",AN105,AN105,"DAYS=ALL","PRICING SOURCE",$C$6)))</f>
        <v>666.80000000000007</v>
      </c>
      <c r="AF105" s="150" cm="1">
        <f t="array" ref="AF105">IF(B105="","",_xll.BDP($B105,AF$9,"fill=b"))</f>
        <v>6.78</v>
      </c>
      <c r="AG105" s="150"/>
      <c r="AH105" s="190" t="e">
        <f>IF(B105="","",IF($AD105="AT MATURITY",$AB105*1,_xll.BADDPERIODS(_xll.BDP($B105,"issue dt"),"numberofperiods",TRUNC(_xll.BDP($B105,"YRS_TO_LONGEST_AVG_LIFE","YLD_YTM_BID",AF105,"SETTLE_DT",U105,AC105),0),"per=y")+(ROUND(MOD(_xll.BDP(B105,"YRS_TO_LONGEST_AVG_LIFE","YLD_YTM_BID",AF105,"SETTLE_DT",U105,AC105),1)*360,0))))</f>
        <v>#VALUE!</v>
      </c>
      <c r="AI105" s="150" t="e">
        <f t="array" ref="AI105">IF(B105="","",AF105-_xll.BInterpol(_xll.BDP(_xll.BDS("YCGT0372 Index","curve members","CURVE_DATE", $U105,"endcol=1","array=true"),"maturity")*1,_xll.BDH(_xll.BDS("YCGT0372 Index","curve members","CURVE_DATE", $U105,"endcol=1","array=true"),"yld cnv mid",$U105,$U105,"days=all"),AH105,"CUBIC","Extrapolate=LINEAR","SKIP=TRUE","SORT=TRUE","MultiX=Average"))</f>
        <v>#VALUE!</v>
      </c>
      <c r="AJ105" s="189" t="str">
        <f t="shared" si="24"/>
        <v/>
      </c>
      <c r="AK105" s="257" t="str" cm="1">
        <f t="array" ref="AK105">IF(B105="","",_xll.BDP($B105,AK$9,"fill=b"))</f>
        <v>150MM</v>
      </c>
      <c r="AL105" s="257" t="str" cm="1">
        <f t="array" ref="AL105">IF(B105="","",_xll.BDP($B105,AL$9,"fill=b"))</f>
        <v>100.02MM</v>
      </c>
      <c r="AM105" s="256" cm="1">
        <f t="array" ref="AM105">IF(B105="","",_xll.BDP($B105,AM$9,"fill=b"))</f>
        <v>666.80000000000007</v>
      </c>
      <c r="AN105" s="150" t="str" cm="1">
        <f t="array" ref="AN105">IF(B105="","",_xll.BDP($B105,AN$9,"fill=b"))</f>
        <v>2/10/2014</v>
      </c>
      <c r="AO105" s="150" t="str" cm="1">
        <f t="array" ref="AO105">IF(B105="","",IF(LEFT(_xlfn.SINGLE(_xll.BDP($B105,AO$9,"fill=b")),1)="#","-",_xll.BDP($B105,AO$9,"fill=b")))</f>
        <v>JOINT LEADS</v>
      </c>
      <c r="AP105" s="150" t="str" cm="1">
        <f t="array" ref="AP105">IF(B105="","",_xll.BDP($B105,AP$9,"fill=b"))</f>
        <v>Basic Materials</v>
      </c>
      <c r="AQ105" s="150" t="str" cm="1">
        <f t="array" ref="AQ105">IF(B105="","",_xll.BDP($B105,AQ$9,"fill=b"))</f>
        <v>Iron/Steel</v>
      </c>
      <c r="AR105" s="150" t="str" cm="1">
        <f t="array" ref="AR105">IF(B105="","",_xll.BDP($B105,AR$9,"fill=b"))</f>
        <v>brAAA</v>
      </c>
      <c r="AS105" s="150" t="str" cm="1">
        <f t="array" ref="AS105">IF(B105="","",_xll.BDP($B105,AS$9,"fill=b"))</f>
        <v>WR</v>
      </c>
      <c r="AT105" s="150" t="str" cm="1">
        <f t="array" ref="AT105">IF(B105="","",_xll.BDP($B105,AT$9,"fill=b"))</f>
        <v>AAA(bra)</v>
      </c>
      <c r="AU105" s="258" t="str" cm="1">
        <f t="array" ref="AU105">IF(B105="","",_xll.BDP($B105,AU$9,"fill=b"))</f>
        <v>CPN = BZCLVLUE INDEX + 678 BPS. ISSUED UNDER LAW 12.431</v>
      </c>
    </row>
    <row r="106" spans="2:47" ht="15" x14ac:dyDescent="0.25">
      <c r="B106" s="232" t="s">
        <v>274</v>
      </c>
      <c r="C106" s="150" t="str" cm="1">
        <f t="array" ref="C106">IF(B106="","",_xll.BDP($B106,C$9,"fill=b"))</f>
        <v>STEN13</v>
      </c>
      <c r="D106" s="150" t="str" cm="1">
        <f t="array" ref="D106">IF(B106="","",_xll.BDP($B106,D$9,"fill=b"))</f>
        <v>SAENER 7.0537 04/15/22</v>
      </c>
      <c r="E106" s="150" t="str" cm="1">
        <f t="array" ref="E106">IF(B106="","",_xll.BDP($B106,E$9,"fill=b"))</f>
        <v>SANTO ANTONIO ENERGIA</v>
      </c>
      <c r="F106" s="150" t="str" cm="1">
        <f t="array" ref="F106">IF(B106="","",IF(LEFT(_xlfn.SINGLE(_xll.BDP($B106,F$9,"fill=b")),1)="#","-",_xll.BDP($B106,F$9,"fill=b")))</f>
        <v>ELET3 BZ</v>
      </c>
      <c r="G106" s="150" t="str" cm="1">
        <f t="array" ref="G106">IF(B106="","",_xll.BDP($B106,G$9,"fill=b"))</f>
        <v>BRAZIL IPCA+SPREAD</v>
      </c>
      <c r="H106" s="150" t="str" cm="1">
        <f t="array" ref="H106">IF(B106="","",_xll.BDP($B106,H$9,"fill=b"))</f>
        <v/>
      </c>
      <c r="I106" s="150" t="str" cm="1">
        <f t="array" ref="I106">IF(LEFT(_xlfn.SINGLE(_xll.BDP(B106,"REFERENCE_INDEX")),1)="#",IF(LEFT(_xlfn.SINGLE(_xll.BDP(B106, "RESET_IDX"))&amp;" Index",1)="#","",_xlfn.SINGLE(_xll.BDP(B106, "RESET_IDX"))&amp;" Index"),_xll.BDP(B106,"REFERENCE_INDEX"))</f>
        <v>BZCLVLUE Index</v>
      </c>
      <c r="J106" s="150" t="str">
        <f>IF(I106="BZDIOVRA Index",IF(_xll.BDP(B106,"FLT_SPREAD")/100=0,_xll.BDP(B106,"FLT_BENCH_MULTIPLIER"),_xll.BDP(B106,"FLT_SPREAD")/100),"")</f>
        <v/>
      </c>
      <c r="K106" s="150" t="str" cm="1">
        <f t="array" ref="K106">IF(B106="","",IF(LEFT(_xlfn.SINGLE(_xll.BDP($B106,K$9,"fill=b")),1)="#","-",_xll.BDP($B106,K$9,"fill=b")))</f>
        <v>-</v>
      </c>
      <c r="L106" s="233"/>
      <c r="M106" s="234" t="e">
        <f t="shared" si="25"/>
        <v>#VALUE!</v>
      </c>
      <c r="N106" s="252" t="e">
        <f>IF(B106="","",IF(R106="",IF(OR(AD106="SINKABLE",AD106="CALL/SINK"),_xll.BDP(B106,$N$9,$M$9,M106,"PRICING SOURCE",$C$6,"FILL=B"),_xll.BDP(B106,$N$9,$M$9,M106,"PRICING SOURCE",$C$6,"FILL=B")),IF(OR(AD106="SINKABLE",AD106="CALL/SINK"),_xll.BDP(B106,$N$9,$Q$10,S106,$M$9,M106,"PRICING SOURCE",$C$6,"FILL=B"),_xll.BDP(B106,$N$9,$Q$9,S106,$M$9,M106,"PRICING SOURCE",$C$6,"FILL=B"))))</f>
        <v>#VALUE!</v>
      </c>
      <c r="O106" s="235"/>
      <c r="P106" s="236" t="e">
        <f t="shared" si="26"/>
        <v>#VALUE!</v>
      </c>
      <c r="Q106" s="166" t="str">
        <f>IF(ISERROR((IF(OR(AD106="SINKABLE",AD106="CALL/SINK"),_xll.BDP($B106,$Q$10,"fill=b","PRICING_SOURCE",$C$6,$AC106,$N$9,$P106,$M$9,$M106),_xll.BDP($B106,Q$9,"fill=b","PRICING_SOURCE",$C$6,$AC106,$N$9,$P106,$M$9,$M106)))*1),"",IF(OR(AD106="SINKABLE",AD106="CALL/SINK"),_xll.BDP($B106,$Q$10,"fill=b","PRICING_SOURCE",$C$6,$AC106,$N$9,$P106,$M$9,$M106),_xll.BDP($B106,Q$9,"fill=b","PRICING_SOURCE",$C$6,$AC106,$N$9,$P106,$M$9,$M106)))</f>
        <v/>
      </c>
      <c r="R106" s="237"/>
      <c r="S106" s="238" t="str">
        <f t="shared" si="27"/>
        <v/>
      </c>
      <c r="T106" s="239" cm="1">
        <f t="array" ref="T106">IF(ISERROR((_xlfn.SINGLE(IF(OR(AD106="SINKABLE",AD106="CALL/SINK"),_xll.BDP($B106,$Q$10,"fill=b","PRICING_SOURCE",$C$6,$AC106,$M$9,$U106,"px ask",$AE106),_xll.BDP($B106,Q$9,"fill=b","PRICING_SOURCE",$C$6,$AC106,$M$9,$U106,"px ask",$AE106))))*1),"",IF(OR(AD106="SINKABLE",AD106="CALL/SINK"),_xll.BDP($B106,$Q$10,"fill=b","PRICING_SOURCE",$C$6,$AC106,$M$9,$U106,"px ask",$AE106),_xll.BDP($B106,Q$9,"fill=b","PRICING_SOURCE",$C$6,$AC106,$M$9,$U106,"px ask",$AE106)))</f>
        <v>93.97988124964742</v>
      </c>
      <c r="U106" s="240" t="str">
        <f t="shared" si="22"/>
        <v>20140502</v>
      </c>
      <c r="V106" s="254" t="e" cm="1">
        <f t="array" ref="V106">IF(B106="","",IF(I106="BZDIOVRA Index",IF(OR(AD106="SINKABLE",AD106="CALL/SINK"),_xll.BDP($B106,"PX_ASK",$Q$10,J106,$M$9,M106),_xll.BDP($B106,"PX_"&amp;$H$7,$Q$9,J106,$M$9,M106)),_xll.BDP($B106,"PX_"&amp;$H$7,$Q$9,_xll.BDP(B106,"CPN"),$M$9,M106)))</f>
        <v>#VALUE!</v>
      </c>
      <c r="W106" s="254" t="str">
        <f t="shared" si="23"/>
        <v/>
      </c>
      <c r="X106" s="166" t="e">
        <f>IF(B106="","",IF(OR(AD106="SINKABLE",AD106="CALL/SINK"),_xll.BDP($B106,X$9,"fill=b","PRICING_SOURCE",$C$6,$AC106,$M$9,$M106,$N$9,$P106,$Q$10,$S106),_xll.BDP($B106,X$9,"fill=b","PRICING_SOURCE",$C$6,$AC106,$M$9,$M106,$N$9,$P106,$Q$9,$S106)))</f>
        <v>#VALUE!</v>
      </c>
      <c r="Y106" s="166" t="e">
        <f>IF(B106="","",IF(OR(AD106="SINKABLE",AD106="CALL/SINK"),_xll.BDP($B106,Y$9,"fill=b","PRICING_SOURCE",$C$6,$AC106,$M$9,$M106,$N$9,$P106,$Q$10,$S106),_xll.BDP($B106,Y$9,"fill=b","PRICING_SOURCE",$C$6,$AC106,$M$9,$M106,$N$9,$P106,$Q$9,$S106)))</f>
        <v>#VALUE!</v>
      </c>
      <c r="Z106" s="255" t="e">
        <f>IF(B106="","",IF(OR(AD106="SINKABLE",AD106="CALL/SINK"),_xll.BDP($B106,Z$9,"fill=b","PRICING_SOURCE",$C$6,$AC106,$M$9,$M106,$N$9,$P106,$Q$10,$S106),_xll.BDP($B106,Z$9,"fill=b","PRICING_SOURCE",$C$6,$AC106,$M$9,$M106,$N$9,$P106,$Q$9,$S106)))</f>
        <v>#VALUE!</v>
      </c>
      <c r="AA106" s="166" t="e">
        <f>IF(B106="","",IF(OR(AD106="SINKABLE",AD106="CALL/SINK"),_xll.BDP($B106,AA$9,"fill=b","PRICING_SOURCE",$C$6,$AC106,$M$9,$M106,$N$9,$P106,$Q$10,$S106),_xll.BDP($B106,AA$9,"fill=b","PRICING_SOURCE",$C$6,$AC106,$M$9,$M106,$N$9,$P106,$Q$9,$S106)))</f>
        <v>#VALUE!</v>
      </c>
      <c r="AB106" s="150" t="str" cm="1">
        <f t="array" ref="AB106">IF(B106="","",IF(LEFT(_xlfn.SINGLE(_xll.BDP($B106,AB$9,"fill=b")),1)="#","-",_xll.BDP($B106,AB$9,"fill=b")))</f>
        <v>4/15/2022</v>
      </c>
      <c r="AC106" s="150" t="str">
        <f t="shared" si="28"/>
        <v>YLD FLAG=28</v>
      </c>
      <c r="AD106" s="150" t="str" cm="1">
        <f t="array" ref="AD106">IF(B106="","",_xll.BDP($B106,AD$9,"fill=b"))</f>
        <v>SINKABLE</v>
      </c>
      <c r="AE106" s="256" cm="1">
        <f t="array" ref="AE106">IF(B106="","",IF(ISERROR(_xlfn.SINGLE(_xll.BDH(B106,"PX LAST",AN106,AN106,"DAYS=ALL","PRICING SOURCE",$C$6))*1),_xll.BDP(B106,"PAR AMT"),_xll.BDH(B106,"PX LAST",AN106,AN106,"DAYS=ALL","PRICING SOURCE",$C$6)))</f>
        <v>4238.5200000000004</v>
      </c>
      <c r="AF106" s="150" cm="1">
        <f t="array" ref="AF106">IF(B106="","",_xll.BDP($B106,AF$9,"fill=b"))</f>
        <v>7.0537000000000001</v>
      </c>
      <c r="AG106" s="150"/>
      <c r="AH106" s="190" t="e">
        <f>IF(B106="","",IF($AD106="AT MATURITY",$AB106*1,_xll.BADDPERIODS(_xll.BDP($B106,"issue dt"),"numberofperiods",TRUNC(_xll.BDP($B106,"YRS_TO_LONGEST_AVG_LIFE","YLD_YTM_BID",AF106,"SETTLE_DT",U106,AC106),0),"per=y")+(ROUND(MOD(_xll.BDP(B106,"YRS_TO_LONGEST_AVG_LIFE","YLD_YTM_BID",AF106,"SETTLE_DT",U106,AC106),1)*360,0))))</f>
        <v>#VALUE!</v>
      </c>
      <c r="AI106" s="150" t="e" cm="1">
        <f t="array" ref="AI106">IF(B106="","",AF106-_xll.BInterpol(_xll.BDP(_xll.BDS("YCGT0372 Index","curve members","CURVE_DATE", $U106,"endcol=1","array=true"),"maturity")*1,_xll.BDH(_xll.BDS("YCGT0372 Index","curve members","CURVE_DATE", $U106,"endcol=1","array=true"),"yld cnv mid",$U106,$U106,"days=all"),AH106,"CUBIC","Extrapolate=LINEAR","SKIP=TRUE","SORT=TRUE","MultiX=Average"))</f>
        <v>#VALUE!</v>
      </c>
      <c r="AJ106" s="189" t="str">
        <f t="shared" si="24"/>
        <v/>
      </c>
      <c r="AK106" s="257" t="str" cm="1">
        <f t="array" ref="AK106">IF(B106="","",_xll.BDP($B106,AK$9,"fill=b"))</f>
        <v>200MM</v>
      </c>
      <c r="AL106" s="257" t="str" cm="1">
        <f t="array" ref="AL106">IF(B106="","",_xll.BDP($B106,AL$9,"fill=b"))</f>
        <v>0</v>
      </c>
      <c r="AM106" s="256" cm="1">
        <f t="array" ref="AM106">IF(B106="","",_xll.BDP($B106,AM$9,"fill=b"))</f>
        <v>4238.5200000000004</v>
      </c>
      <c r="AN106" s="150" t="str" cm="1">
        <f t="array" ref="AN106">IF(B106="","",_xll.BDP($B106,AN$9,"fill=b"))</f>
        <v>5/2/2014</v>
      </c>
      <c r="AO106" s="150" t="str" cm="1">
        <f t="array" ref="AO106">IF(B106="","",IF(LEFT(_xlfn.SINGLE(_xll.BDP($B106,AO$9,"fill=b")),1)="#","-",_xll.BDP($B106,AO$9,"fill=b")))</f>
        <v>BTG,BESINV,HSBC</v>
      </c>
      <c r="AP106" s="150" t="str" cm="1">
        <f t="array" ref="AP106">IF(B106="","",_xll.BDP($B106,AP$9,"fill=b"))</f>
        <v>Energy</v>
      </c>
      <c r="AQ106" s="150" t="str" cm="1">
        <f t="array" ref="AQ106">IF(B106="","",_xll.BDP($B106,AQ$9,"fill=b"))</f>
        <v>Energy-Alternate Sources</v>
      </c>
      <c r="AR106" s="150" t="str" cm="1">
        <f t="array" ref="AR106">IF(B106="","",_xll.BDP($B106,AR$9,"fill=b"))</f>
        <v>NR</v>
      </c>
      <c r="AS106" s="150" t="str" cm="1">
        <f t="array" ref="AS106">IF(B106="","",_xll.BDP($B106,AS$9,"fill=b"))</f>
        <v/>
      </c>
      <c r="AT106" s="150" t="str" cm="1">
        <f t="array" ref="AT106">IF(B106="","",_xll.BDP($B106,AT$9,"fill=b"))</f>
        <v>NR</v>
      </c>
      <c r="AU106" s="258" t="str" cm="1">
        <f t="array" ref="AU106">IF(B106="","",_xll.BDP($B106,AU$9,"fill=b"))</f>
        <v>CPN = BZCLVLUE INDEX  + 705.37 BPS. ISSUED UNDER LAW 12.431.</v>
      </c>
    </row>
    <row r="107" spans="2:47" ht="15" x14ac:dyDescent="0.25">
      <c r="B107" s="232" t="s">
        <v>261</v>
      </c>
      <c r="C107" s="150" t="str" cm="1">
        <f t="array" ref="C107">IF(B107="","",_xll.BDP($B107,C$9,"fill=b"))</f>
        <v>VALE38</v>
      </c>
      <c r="D107" s="150" t="str" cm="1">
        <f t="array" ref="D107">IF(B107="","",_xll.BDP($B107,D$9,"fill=b"))</f>
        <v>VALEBZ 6.71 01/15/26</v>
      </c>
      <c r="E107" s="150" t="str" cm="1">
        <f t="array" ref="E107">IF(B107="","",_xll.BDP($B107,E$9,"fill=b"))</f>
        <v>VALE SA</v>
      </c>
      <c r="F107" s="150" t="str" cm="1">
        <f t="array" ref="F107">IF(B107="","",IF(LEFT(_xlfn.SINGLE(_xll.BDP($B107,F$9,"fill=b")),1)="#","-",_xll.BDP($B107,F$9,"fill=b")))</f>
        <v>VALE3 BZ</v>
      </c>
      <c r="G107" s="150" t="str" cm="1">
        <f t="array" ref="G107">IF(B107="","",_xll.BDP($B107,G$9,"fill=b"))</f>
        <v>BRAZIL IPCA+SPREAD</v>
      </c>
      <c r="H107" s="150" t="str" cm="1">
        <f t="array" ref="H107">IF(B107="","",_xll.BDP($B107,H$9,"fill=b"))</f>
        <v/>
      </c>
      <c r="I107" s="150" t="str" cm="1">
        <f t="array" ref="I107">IF(LEFT(_xlfn.SINGLE(_xll.BDP(B107,"REFERENCE_INDEX")),1)="#",IF(LEFT(_xlfn.SINGLE(_xll.BDP(B107, "RESET_IDX"))&amp;" Index",1)="#","",_xlfn.SINGLE(_xll.BDP(B107, "RESET_IDX"))&amp;" Index"),_xll.BDP(B107,"REFERENCE_INDEX"))</f>
        <v>BZCLVLUE Index</v>
      </c>
      <c r="J107" s="150" t="str">
        <f>IF(I107="BZDIOVRA Index",IF(_xll.BDP(B107,"FLT_SPREAD")/100=0,_xll.BDP(B107,"FLT_BENCH_MULTIPLIER"),_xll.BDP(B107,"FLT_SPREAD")/100),"")</f>
        <v/>
      </c>
      <c r="K107" s="150" t="str" cm="1">
        <f t="array" ref="K107">IF(B107="","",IF(LEFT(_xlfn.SINGLE(_xll.BDP($B107,K$9,"fill=b")),1)="#","-",_xll.BDP($B107,K$9,"fill=b")))</f>
        <v>6/23/2025</v>
      </c>
      <c r="L107" s="233"/>
      <c r="M107" s="234" t="str">
        <f t="shared" si="25"/>
        <v>20250623</v>
      </c>
      <c r="N107" s="252" cm="1">
        <f t="array" ref="N107">IF(B107="","",IF(R107="",IF(OR(AD107="SINKABLE",AD107="CALL/SINK"),_xll.BDP(B107,$N$9,$M$9,M107,"PRICING SOURCE",$C$6,"FILL=B"),_xll.BDP(B107,$N$9,$M$9,M107,"PRICING SOURCE",$C$6,"FILL=B")),IF(OR(AD107="SINKABLE",AD107="CALL/SINK"),_xll.BDP(B107,$N$9,$Q$10,S107,$M$9,M107,"PRICING SOURCE",$C$6,"FILL=B"),_xll.BDP(B107,$N$9,$Q$9,S107,$M$9,M107,"PRICING SOURCE",$C$6,"FILL=B"))))</f>
        <v>642.41839000000004</v>
      </c>
      <c r="O107" s="235"/>
      <c r="P107" s="236">
        <f t="shared" si="26"/>
        <v>642.41839000000004</v>
      </c>
      <c r="Q107" s="166" cm="1">
        <f t="array" ref="Q107">IF(ISERROR((_xlfn.SINGLE(IF(OR(AD107="SINKABLE",AD107="CALL/SINK"),_xll.BDP($B107,$Q$10,"fill=b","PRICING_SOURCE",$C$6,$AC107,$N$9,$P107,$M$9,$M107),_xll.BDP($B107,Q$9,"fill=b","PRICING_SOURCE",$C$6,$AC107,$N$9,$P107,$M$9,$M107))))*1),"",IF(OR(AD107="SINKABLE",AD107="CALL/SINK"),_xll.BDP($B107,$Q$10,"fill=b","PRICING_SOURCE",$C$6,$AC107,$N$9,$P107,$M$9,$M107),_xll.BDP($B107,Q$9,"fill=b","PRICING_SOURCE",$C$6,$AC107,$N$9,$P107,$M$9,$M107)))</f>
        <v>9.6040001739709986</v>
      </c>
      <c r="R107" s="237"/>
      <c r="S107" s="238">
        <f t="shared" si="27"/>
        <v>9.6040001739709986</v>
      </c>
      <c r="T107" s="239" cm="1">
        <f t="array" ref="T107">IF(ISERROR((_xlfn.SINGLE(IF(OR(AD107="SINKABLE",AD107="CALL/SINK"),_xll.BDP($B107,$Q$10,"fill=b","PRICING_SOURCE",$C$6,$AC107,$M$9,$U107,"px ask",$AE107),_xll.BDP($B107,Q$9,"fill=b","PRICING_SOURCE",$C$6,$AC107,$M$9,$U107,"px ask",$AE107))))*1),"",IF(OR(AD107="SINKABLE",AD107="CALL/SINK"),_xll.BDP($B107,$Q$10,"fill=b","PRICING_SOURCE",$C$6,$AC107,$M$9,$U107,"px ask",$AE107),_xll.BDP($B107,Q$9,"fill=b","PRICING_SOURCE",$C$6,$AC107,$M$9,$U107,"px ask",$AE107)))</f>
        <v>13.065040603334378</v>
      </c>
      <c r="U107" s="240" t="str">
        <f t="shared" ref="U107:U138" si="29">IF(B107="","",IF(AG107="",TEXT(YEAR(AN107)*10000+MONTH(AN107)*100+DAY(AN107),"00000000"),TEXT(YEAR(AG107)*10000+MONTH(AG107)*100+DAY(AG107),"00000000")))</f>
        <v>20140210</v>
      </c>
      <c r="V107" s="254" cm="1">
        <f t="array" ref="V107">IF(B107="","",IF(I107="BZDIOVRA Index",IF(OR(AD107="SINKABLE",AD107="CALL/SINK"),_xll.BDP($B107,"PX_ASK",$Q$10,J107,$M$9,M107),_xll.BDP($B107,"PX_"&amp;$H$7,$Q$9,J107,$M$9,M107)),_xll.BDP($B107,"PX_"&amp;$H$7,$Q$9,_xll.BDP(B107,"CPN"),$M$9,M107)))</f>
        <v>1956.768695</v>
      </c>
      <c r="W107" s="254">
        <f t="shared" ref="W107:W138" si="30">IF(ISERROR(P107/V107*100),"",P107/V107*100)</f>
        <v>32.830573774076043</v>
      </c>
      <c r="X107" s="166" cm="1">
        <f t="array" ref="X107">IF(B107="","",IF(OR(AD107="SINKABLE",AD107="CALL/SINK"),_xll.BDP($B107,X$9,"fill=b","PRICING_SOURCE",$C$6,$AC107,$M$9,$M107,$N$9,$P107,$Q$10,$S107),_xll.BDP($B107,X$9,"fill=b","PRICING_SOURCE",$C$6,$AC107,$M$9,$M107,$N$9,$P107,$Q$9,$S107)))</f>
        <v>0.57539599821660758</v>
      </c>
      <c r="Y107" s="166" cm="1">
        <f t="array" ref="Y107">IF(B107="","",IF(OR(AD107="SINKABLE",AD107="CALL/SINK"),_xll.BDP($B107,Y$9,"fill=b","PRICING_SOURCE",$C$6,$AC107,$M$9,$M107,$N$9,$P107,$Q$10,$S107),_xll.BDP($B107,Y$9,"fill=b","PRICING_SOURCE",$C$6,$AC107,$M$9,$M107,$N$9,$P107,$Q$9,$S107)))</f>
        <v>0.52497718815307792</v>
      </c>
      <c r="Z107" s="255" cm="1">
        <f t="array" ref="Z107">IF(B107="","",IF(OR(AD107="SINKABLE",AD107="CALL/SINK"),_xll.BDP($B107,Z$9,"fill=b","PRICING_SOURCE",$C$6,$AC107,$M$9,$M107,$N$9,$P107,$Q$10,$S107),_xll.BDP($B107,Z$9,"fill=b","PRICING_SOURCE",$C$6,$AC107,$M$9,$M107,$N$9,$P107,$Q$9,$S107)))</f>
        <v>4.6698540278595786E-3</v>
      </c>
      <c r="AA107" s="166" cm="1">
        <f t="array" ref="AA107">IF(B107="","",IF(OR(AD107="SINKABLE",AD107="CALL/SINK"),_xll.BDP($B107,AA$9,"fill=b","PRICING_SOURCE",$C$6,$AC107,$M$9,$M107,$N$9,$P107,$Q$10,$S107),_xll.BDP($B107,AA$9,"fill=b","PRICING_SOURCE",$C$6,$AC107,$M$9,$M107,$N$9,$P107,$Q$9,$S107)))</f>
        <v>3.3725500000002739</v>
      </c>
      <c r="AB107" s="150" t="str" cm="1">
        <f t="array" ref="AB107">IF(B107="","",IF(LEFT(_xlfn.SINGLE(_xll.BDP($B107,AB$9,"fill=b")),1)="#","-",_xll.BDP($B107,AB$9,"fill=b")))</f>
        <v>1/15/2026</v>
      </c>
      <c r="AC107" s="150" t="str">
        <f t="shared" si="28"/>
        <v>YLD FLAG=28</v>
      </c>
      <c r="AD107" s="150" t="str" cm="1">
        <f t="array" ref="AD107">IF(B107="","",_xll.BDP($B107,AD$9,"fill=b"))</f>
        <v>SINKABLE</v>
      </c>
      <c r="AE107" s="256" cm="1">
        <f t="array" ref="AE107">IF(B107="","",IF(ISERROR(_xlfn.SINGLE(_xll.BDH(B107,"PX LAST",AN107,AN107,"DAYS=ALL","PRICING SOURCE",$C$6))*1),_xll.BDP(B107,"PAR AMT"),_xll.BDH(B107,"PX LAST",AN107,AN107,"DAYS=ALL","PRICING SOURCE",$C$6)))</f>
        <v>333.39979111000002</v>
      </c>
      <c r="AF107" s="150" cm="1">
        <f t="array" ref="AF107">IF(B107="","",_xll.BDP($B107,AF$9,"fill=b"))</f>
        <v>6.71</v>
      </c>
      <c r="AG107" s="150"/>
      <c r="AH107" s="190" t="e">
        <f>IF(B107="","",IF($AD107="AT MATURITY",$AB107*1,_xll.BADDPERIODS(_xll.BDP($B107,"issue dt"),"numberofperiods",TRUNC(_xll.BDP($B107,"YRS_TO_LONGEST_AVG_LIFE","YLD_YTM_BID",AF107,"SETTLE_DT",U107,AC107),0),"per=y")+(ROUND(MOD(_xll.BDP(B107,"YRS_TO_LONGEST_AVG_LIFE","YLD_YTM_BID",AF107,"SETTLE_DT",U107,AC107),1)*360,0))))</f>
        <v>#VALUE!</v>
      </c>
      <c r="AI107" s="150" t="e" cm="1">
        <f t="array" ref="AI107">IF(B107="","",AF107-_xll.BInterpol(_xll.BDP(_xll.BDS("YCGT0372 Index","curve members","CURVE_DATE", $U107,"endcol=1","array=true"),"maturity")*1,_xll.BDH(_xll.BDS("YCGT0372 Index","curve members","CURVE_DATE", $U107,"endcol=1","array=true"),"yld cnv mid",$U107,$U107,"days=all"),AH107,"CUBIC","Extrapolate=LINEAR","SKIP=TRUE","SORT=TRUE","MultiX=Average"))</f>
        <v>#VALUE!</v>
      </c>
      <c r="AJ107" s="189" t="str">
        <f t="shared" ref="AJ107:AJ138" si="31">IF(ISERROR(IF(LEFT(IF(MID(G107,8,2)="DI",J107,IF(MID(G107,8,4)="IPCA",AI107,"")),1)="#","",IF(MID(G107,8,2)="DI",J107,IF(MID(G107,8,4)="IPCA",AI107,IF(G107="BRAZIL PERCENT DI",J107,""))))),"",IF(LEFT(IF(MID(G107,8,2)="DI",J107,IF(MID(G107,8,4)="IPCA",AI107,"")),1)="#","",IF(MID(G107,8,2)="DI",J107,IF(MID(G107,8,4)="IPCA",AI107,IF(G107="BRAZIL PERCENT DI",J107,"")))))</f>
        <v/>
      </c>
      <c r="AK107" s="257" t="str" cm="1">
        <f t="array" ref="AK107">IF(B107="","",_xll.BDP($B107,AK$9,"fill=b"))</f>
        <v>100MM</v>
      </c>
      <c r="AL107" s="257" t="str" cm="1">
        <f t="array" ref="AL107">IF(B107="","",_xll.BDP($B107,AL$9,"fill=b"))</f>
        <v>33.34MM</v>
      </c>
      <c r="AM107" s="256" cm="1">
        <f t="array" ref="AM107">IF(B107="","",_xll.BDP($B107,AM$9,"fill=b"))</f>
        <v>333.39979111000002</v>
      </c>
      <c r="AN107" s="150" t="str" cm="1">
        <f t="array" ref="AN107">IF(B107="","",_xll.BDP($B107,AN$9,"fill=b"))</f>
        <v>2/10/2014</v>
      </c>
      <c r="AO107" s="150" t="str" cm="1">
        <f t="array" ref="AO107">IF(B107="","",IF(LEFT(_xlfn.SINGLE(_xll.BDP($B107,AO$9,"fill=b")),1)="#","-",_xll.BDP($B107,AO$9,"fill=b")))</f>
        <v>JOINT LEADS</v>
      </c>
      <c r="AP107" s="150" t="str" cm="1">
        <f t="array" ref="AP107">IF(B107="","",_xll.BDP($B107,AP$9,"fill=b"))</f>
        <v>Basic Materials</v>
      </c>
      <c r="AQ107" s="150" t="str" cm="1">
        <f t="array" ref="AQ107">IF(B107="","",_xll.BDP($B107,AQ$9,"fill=b"))</f>
        <v>Iron/Steel</v>
      </c>
      <c r="AR107" s="150" t="str" cm="1">
        <f t="array" ref="AR107">IF(B107="","",_xll.BDP($B107,AR$9,"fill=b"))</f>
        <v>brAAA</v>
      </c>
      <c r="AS107" s="150" t="str" cm="1">
        <f t="array" ref="AS107">IF(B107="","",_xll.BDP($B107,AS$9,"fill=b"))</f>
        <v>WR</v>
      </c>
      <c r="AT107" s="150" t="str" cm="1">
        <f t="array" ref="AT107">IF(B107="","",_xll.BDP($B107,AT$9,"fill=b"))</f>
        <v>AAA(bra)</v>
      </c>
      <c r="AU107" s="258" t="str" cm="1">
        <f t="array" ref="AU107">IF(B107="","",_xll.BDP($B107,AU$9,"fill=b"))</f>
        <v>CPN = BZCLVLUE INDEX + 671 BPS. ISSUED UNDER LAW 12.431</v>
      </c>
    </row>
    <row r="108" spans="2:47" ht="15" x14ac:dyDescent="0.25">
      <c r="B108" s="232" t="s">
        <v>325</v>
      </c>
      <c r="C108" s="150" t="str" cm="1">
        <f t="array" ref="C108">IF(B108="","",_xll.BDP($B108,C$9,"fill=b"))</f>
        <v>MDNE14</v>
      </c>
      <c r="D108" s="150" t="str" cm="1">
        <f t="array" ref="D108">IF(B108="","",_xll.BDP($B108,D$9,"fill=b"))</f>
        <v>MODUEN Float 08/15/24</v>
      </c>
      <c r="E108" s="150" t="str" cm="1">
        <f t="array" ref="E108">IF(B108="","",_xll.BDP($B108,E$9,"fill=b"))</f>
        <v>MOURA DUBEUX ENGENHARIA</v>
      </c>
      <c r="F108" s="150" t="str" cm="1">
        <f t="array" ref="F108">IF(B108="","",IF(LEFT(_xlfn.SINGLE(_xll.BDP($B108,F$9,"fill=b")),1)="#","-",_xll.BDP($B108,F$9,"fill=b")))</f>
        <v>MDNE3 BZ</v>
      </c>
      <c r="G108" s="150" t="str" cm="1">
        <f t="array" ref="G108">IF(B108="","",_xll.BDP($B108,G$9,"fill=b"))</f>
        <v>NO CALC-FLOATERS</v>
      </c>
      <c r="H108" s="150" t="str" cm="1">
        <f t="array" ref="H108">IF(B108="","",_xll.BDP($B108,H$9,"fill=b"))</f>
        <v>OVRA BZDI +600.000</v>
      </c>
      <c r="I108" s="150" t="str" cm="1">
        <f t="array" ref="I108">IF(LEFT(_xlfn.SINGLE(_xll.BDP(B108,"REFERENCE_INDEX")),1)="#",IF(LEFT(_xlfn.SINGLE(_xll.BDP(B108, "RESET_IDX"))&amp;" Index",1)="#","",_xlfn.SINGLE(_xll.BDP(B108, "RESET_IDX"))&amp;" Index"),_xll.BDP(B108,"REFERENCE_INDEX"))</f>
        <v>BZDIOVRA Index</v>
      </c>
      <c r="J108" s="150" cm="1">
        <f t="array" ref="J108">IF(I108="BZDIOVRA Index",IF(_xlfn.SINGLE(_xll.BDP(B108,"FLT_SPREAD"))/100=0,_xll.BDP(B108,"FLT_BENCH_MULTIPLIER"),_xlfn.SINGLE(_xll.BDP(B108,"FLT_SPREAD"))/100),"")</f>
        <v>6</v>
      </c>
      <c r="K108" s="150" t="str" cm="1">
        <f t="array" ref="K108">IF(B108="","",IF(LEFT(_xlfn.SINGLE(_xll.BDP($B108,K$9,"fill=b")),1)="#","-",_xll.BDP($B108,K$9,"fill=b")))</f>
        <v>-</v>
      </c>
      <c r="L108" s="233"/>
      <c r="M108" s="234" t="e">
        <f t="shared" si="25"/>
        <v>#VALUE!</v>
      </c>
      <c r="N108" s="252" t="e">
        <f>IF(B108="","",IF(R108="",IF(OR(AD108="SINKABLE",AD108="CALL/SINK"),_xll.BDP(B108,$N$9,$M$9,M108,"PRICING SOURCE",$C$6,"FILL=B"),_xll.BDP(B108,$N$9,$M$9,M108,"PRICING SOURCE",$C$6,"FILL=B")),IF(OR(AD108="SINKABLE",AD108="CALL/SINK"),_xll.BDP(B108,$N$9,$Q$10,S108,$M$9,M108,"PRICING SOURCE",$C$6,"FILL=B"),_xll.BDP(B108,$N$9,$Q$9,S108,$M$9,M108,"PRICING SOURCE",$C$6,"FILL=B"))))</f>
        <v>#VALUE!</v>
      </c>
      <c r="O108" s="235"/>
      <c r="P108" s="236" t="e">
        <f t="shared" si="26"/>
        <v>#VALUE!</v>
      </c>
      <c r="Q108" s="166" t="str">
        <f>IF(ISERROR((IF(OR(AD108="SINKABLE",AD108="CALL/SINK"),_xll.BDP($B108,$Q$10,"fill=b","PRICING_SOURCE",$C$6,$AC108,$N$9,$P108,$M$9,$M108),_xll.BDP($B108,Q$9,"fill=b","PRICING_SOURCE",$C$6,$AC108,$N$9,$P108,$M$9,$M108)))*1),"",IF(OR(AD108="SINKABLE",AD108="CALL/SINK"),_xll.BDP($B108,$Q$10,"fill=b","PRICING_SOURCE",$C$6,$AC108,$N$9,$P108,$M$9,$M108),_xll.BDP($B108,Q$9,"fill=b","PRICING_SOURCE",$C$6,$AC108,$N$9,$P108,$M$9,$M108)))</f>
        <v/>
      </c>
      <c r="R108" s="237"/>
      <c r="S108" s="238" t="str">
        <f t="shared" si="27"/>
        <v/>
      </c>
      <c r="T108" s="239" cm="1">
        <f t="array" ref="T108">IF(ISERROR((_xlfn.SINGLE(IF(OR(AD108="SINKABLE",AD108="CALL/SINK"),_xll.BDP($B108,$Q$10,"fill=b","PRICING_SOURCE",$C$6,$AC108,$M$9,$U108,"px ask",$AE108),_xll.BDP($B108,Q$9,"fill=b","PRICING_SOURCE",$C$6,$AC108,$M$9,$U108,"px ask",$AE108))))*1),"",IF(OR(AD108="SINKABLE",AD108="CALL/SINK"),_xll.BDP($B108,$Q$10,"fill=b","PRICING_SOURCE",$C$6,$AC108,$M$9,$U108,"px ask",$AE108),_xll.BDP($B108,Q$9,"fill=b","PRICING_SOURCE",$C$6,$AC108,$M$9,$U108,"px ask",$AE108)))</f>
        <v>10.59</v>
      </c>
      <c r="U108" s="240" t="str">
        <f t="shared" si="29"/>
        <v>20140227</v>
      </c>
      <c r="V108" s="254" t="e" cm="1">
        <f t="array" ref="V108">IF(B108="","",IF(I108="BZDIOVRA Index",IF(OR(AD108="SINKABLE",AD108="CALL/SINK"),_xll.BDP($B108,"PX_ASK",$Q$10,J108,$M$9,M108),_xll.BDP($B108,"PX_"&amp;$H$7,$Q$9,J108,$M$9,M108)),_xll.BDP($B108,"PX_"&amp;$H$7,$Q$9,_xll.BDP(B108,"CPN"),$M$9,M108)))</f>
        <v>#VALUE!</v>
      </c>
      <c r="W108" s="254" t="str">
        <f t="shared" si="30"/>
        <v/>
      </c>
      <c r="X108" s="166" t="e">
        <f>IF(B108="","",IF(OR(AD108="SINKABLE",AD108="CALL/SINK"),_xll.BDP($B108,X$9,"fill=b","PRICING_SOURCE",$C$6,$AC108,$M$9,$M108,$N$9,$P108,$Q$10,$S108),_xll.BDP($B108,X$9,"fill=b","PRICING_SOURCE",$C$6,$AC108,$M$9,$M108,$N$9,$P108,$Q$9,$S108)))</f>
        <v>#VALUE!</v>
      </c>
      <c r="Y108" s="166" t="e">
        <f>IF(B108="","",IF(OR(AD108="SINKABLE",AD108="CALL/SINK"),_xll.BDP($B108,Y$9,"fill=b","PRICING_SOURCE",$C$6,$AC108,$M$9,$M108,$N$9,$P108,$Q$10,$S108),_xll.BDP($B108,Y$9,"fill=b","PRICING_SOURCE",$C$6,$AC108,$M$9,$M108,$N$9,$P108,$Q$9,$S108)))</f>
        <v>#VALUE!</v>
      </c>
      <c r="Z108" s="255" t="e">
        <f>IF(B108="","",IF(OR(AD108="SINKABLE",AD108="CALL/SINK"),_xll.BDP($B108,Z$9,"fill=b","PRICING_SOURCE",$C$6,$AC108,$M$9,$M108,$N$9,$P108,$Q$10,$S108),_xll.BDP($B108,Z$9,"fill=b","PRICING_SOURCE",$C$6,$AC108,$M$9,$M108,$N$9,$P108,$Q$9,$S108)))</f>
        <v>#VALUE!</v>
      </c>
      <c r="AA108" s="166" t="e">
        <f>IF(B108="","",IF(OR(AD108="SINKABLE",AD108="CALL/SINK"),_xll.BDP($B108,AA$9,"fill=b","PRICING_SOURCE",$C$6,$AC108,$M$9,$M108,$N$9,$P108,$Q$10,$S108),_xll.BDP($B108,AA$9,"fill=b","PRICING_SOURCE",$C$6,$AC108,$M$9,$M108,$N$9,$P108,$Q$9,$S108)))</f>
        <v>#VALUE!</v>
      </c>
      <c r="AB108" s="150" t="str" cm="1">
        <f t="array" ref="AB108">IF(B108="","",IF(LEFT(_xlfn.SINGLE(_xll.BDP($B108,AB$9,"fill=b")),1)="#","-",_xll.BDP($B108,AB$9,"fill=b")))</f>
        <v>8/15/2024</v>
      </c>
      <c r="AC108" s="150" t="str">
        <f t="shared" si="28"/>
        <v>YLD FLAG=28</v>
      </c>
      <c r="AD108" s="150" t="str" cm="1">
        <f t="array" ref="AD108">IF(B108="","",_xll.BDP($B108,AD$9,"fill=b"))</f>
        <v>SINKABLE</v>
      </c>
      <c r="AE108" s="256" cm="1">
        <f t="array" ref="AE108">IF(B108="","",IF(ISERROR(_xlfn.SINGLE(_xll.BDH(B108,"PX LAST",AN108,AN108,"DAYS=ALL","PRICING SOURCE",$C$6))*1),_xll.BDP(B108,"PAR AMT"),_xll.BDH(B108,"PX LAST",AN108,AN108,"DAYS=ALL","PRICING SOURCE",$C$6)))</f>
        <v>25000</v>
      </c>
      <c r="AF108" s="150" cm="1">
        <f t="array" ref="AF108">IF(B108="","",_xll.BDP($B108,AF$9,"fill=b"))</f>
        <v>0</v>
      </c>
      <c r="AG108" s="150"/>
      <c r="AH108" s="190">
        <f>IF(B108="","",IF($AD108="AT MATURITY",$AB108*1,_xll.BADDPERIODS(_xll.BDP($B108,"issue dt"),"numberofperiods",TRUNC(_xll.BDP($B108,"YRS_TO_LONGEST_AVG_LIFE","YLD_YTM_BID",AF108,"SETTLE_DT",U108,AC108),0),"per=y")+(ROUND(MOD(_xll.BDP(B108,"YRS_TO_LONGEST_AVG_LIFE","YLD_YTM_BID",AF108,"SETTLE_DT",U108,AC108),1)*360,0))))</f>
        <v>41697</v>
      </c>
      <c r="AI108" s="150" t="e" cm="1">
        <f t="array" ref="AI108">IF(B108="","",AF108-_xll.BInterpol(_xll.BDP(_xll.BDS("YCGT0372 Index","curve members","CURVE_DATE", $U108,"endcol=1","array=true"),"maturity")*1,_xll.BDH(_xll.BDS("YCGT0372 Index","curve members","CURVE_DATE", $U108,"endcol=1","array=true"),"yld cnv mid",$U108,$U108,"days=all"),AH108,"CUBIC","Extrapolate=LINEAR","SKIP=TRUE","SORT=TRUE","MultiX=Average"))</f>
        <v>#VALUE!</v>
      </c>
      <c r="AJ108" s="189" t="str">
        <f t="shared" si="31"/>
        <v/>
      </c>
      <c r="AK108" s="257" t="str" cm="1">
        <f t="array" ref="AK108">IF(B108="","",_xll.BDP($B108,AK$9,"fill=b"))</f>
        <v>175MM</v>
      </c>
      <c r="AL108" s="257" t="str" cm="1">
        <f t="array" ref="AL108">IF(B108="","",_xll.BDP($B108,AL$9,"fill=b"))</f>
        <v>0</v>
      </c>
      <c r="AM108" s="256" cm="1">
        <f t="array" ref="AM108">IF(B108="","",_xll.BDP($B108,AM$9,"fill=b"))</f>
        <v>25000</v>
      </c>
      <c r="AN108" s="150" t="str" cm="1">
        <f t="array" ref="AN108">IF(B108="","",_xll.BDP($B108,AN$9,"fill=b"))</f>
        <v>2/27/2014</v>
      </c>
      <c r="AO108" s="150" t="str" cm="1">
        <f t="array" ref="AO108">IF(B108="","",IF(LEFT(_xlfn.SINGLE(_xll.BDP($B108,AO$9,"fill=b")),1)="#","-",_xll.BDP($B108,AO$9,"fill=b")))</f>
        <v>INDUS</v>
      </c>
      <c r="AP108" s="150" t="str" cm="1">
        <f t="array" ref="AP108">IF(B108="","",_xll.BDP($B108,AP$9,"fill=b"))</f>
        <v>Financial</v>
      </c>
      <c r="AQ108" s="150" t="str" cm="1">
        <f t="array" ref="AQ108">IF(B108="","",_xll.BDP($B108,AQ$9,"fill=b"))</f>
        <v>Real Estate</v>
      </c>
      <c r="AR108" s="150" t="str" cm="1">
        <f t="array" ref="AR108">IF(B108="","",_xll.BDP($B108,AR$9,"fill=b"))</f>
        <v/>
      </c>
      <c r="AS108" s="150" t="str" cm="1">
        <f t="array" ref="AS108">IF(B108="","",_xll.BDP($B108,AS$9,"fill=b"))</f>
        <v/>
      </c>
      <c r="AT108" s="150" t="str" cm="1">
        <f t="array" ref="AT108">IF(B108="","",_xll.BDP($B108,AT$9,"fill=b"))</f>
        <v>WD</v>
      </c>
      <c r="AU108" s="258" t="str" cm="1">
        <f t="array" ref="AU108">IF(B108="","",_xll.BDP($B108,AU$9,"fill=b"))</f>
        <v>CPN = BZDIOVRA INDEX + 600 BPS. ISSUED UNDER ICVM 476/09.</v>
      </c>
    </row>
    <row r="109" spans="2:47" ht="15" x14ac:dyDescent="0.25">
      <c r="B109" s="232" t="s">
        <v>263</v>
      </c>
      <c r="C109" s="150" t="str" cm="1">
        <f t="array" ref="C109">IF(B109="","",_xll.BDP($B109,C$9,"fill=b"))</f>
        <v>STEN23</v>
      </c>
      <c r="D109" s="150" t="str" cm="1">
        <f t="array" ref="D109">IF(B109="","",_xll.BDP($B109,D$9,"fill=b"))</f>
        <v>SAENER 7.4943 04/15/24</v>
      </c>
      <c r="E109" s="150" t="str" cm="1">
        <f t="array" ref="E109">IF(B109="","",_xll.BDP($B109,E$9,"fill=b"))</f>
        <v>SANTO ANTONIO ENERGIA</v>
      </c>
      <c r="F109" s="150" t="str" cm="1">
        <f t="array" ref="F109">IF(B109="","",IF(LEFT(_xlfn.SINGLE(_xll.BDP($B109,F$9,"fill=b")),1)="#","-",_xll.BDP($B109,F$9,"fill=b")))</f>
        <v>ELET3 BZ</v>
      </c>
      <c r="G109" s="150" t="str" cm="1">
        <f t="array" ref="G109">IF(B109="","",_xll.BDP($B109,G$9,"fill=b"))</f>
        <v>BRAZIL IPCA+SPREAD</v>
      </c>
      <c r="H109" s="150" t="str" cm="1">
        <f t="array" ref="H109">IF(B109="","",_xll.BDP($B109,H$9,"fill=b"))</f>
        <v/>
      </c>
      <c r="I109" s="150" t="str" cm="1">
        <f t="array" ref="I109">IF(LEFT(_xlfn.SINGLE(_xll.BDP(B109,"REFERENCE_INDEX")),1)="#",IF(LEFT(_xlfn.SINGLE(_xll.BDP(B109, "RESET_IDX"))&amp;" Index",1)="#","",_xlfn.SINGLE(_xll.BDP(B109, "RESET_IDX"))&amp;" Index"),_xll.BDP(B109,"REFERENCE_INDEX"))</f>
        <v>BZCLVLUE Index</v>
      </c>
      <c r="J109" s="150" t="str">
        <f>IF(I109="BZDIOVRA Index",IF(_xll.BDP(B109,"FLT_SPREAD")/100=0,_xll.BDP(B109,"FLT_BENCH_MULTIPLIER"),_xll.BDP(B109,"FLT_SPREAD")/100),"")</f>
        <v/>
      </c>
      <c r="K109" s="150" t="str" cm="1">
        <f t="array" ref="K109">IF(B109="","",IF(LEFT(_xlfn.SINGLE(_xll.BDP($B109,K$9,"fill=b")),1)="#","-",_xll.BDP($B109,K$9,"fill=b")))</f>
        <v>-</v>
      </c>
      <c r="L109" s="233"/>
      <c r="M109" s="234" t="e">
        <f t="shared" si="25"/>
        <v>#VALUE!</v>
      </c>
      <c r="N109" s="252" t="e">
        <f>IF(B109="","",IF(R109="",IF(OR(AD109="SINKABLE",AD109="CALL/SINK"),_xll.BDP(B109,$N$9,$M$9,M109,"PRICING SOURCE",$C$6,"FILL=B"),_xll.BDP(B109,$N$9,$M$9,M109,"PRICING SOURCE",$C$6,"FILL=B")),IF(OR(AD109="SINKABLE",AD109="CALL/SINK"),_xll.BDP(B109,$N$9,$Q$10,S109,$M$9,M109,"PRICING SOURCE",$C$6,"FILL=B"),_xll.BDP(B109,$N$9,$Q$9,S109,$M$9,M109,"PRICING SOURCE",$C$6,"FILL=B"))))</f>
        <v>#VALUE!</v>
      </c>
      <c r="O109" s="235"/>
      <c r="P109" s="236" t="e">
        <f t="shared" si="26"/>
        <v>#VALUE!</v>
      </c>
      <c r="Q109" s="166" t="str">
        <f>IF(ISERROR((IF(OR(AD109="SINKABLE",AD109="CALL/SINK"),_xll.BDP($B109,$Q$10,"fill=b","PRICING_SOURCE",$C$6,$AC109,$N$9,$P109,$M$9,$M109),_xll.BDP($B109,Q$9,"fill=b","PRICING_SOURCE",$C$6,$AC109,$N$9,$P109,$M$9,$M109)))*1),"",IF(OR(AD109="SINKABLE",AD109="CALL/SINK"),_xll.BDP($B109,$Q$10,"fill=b","PRICING_SOURCE",$C$6,$AC109,$N$9,$P109,$M$9,$M109),_xll.BDP($B109,Q$9,"fill=b","PRICING_SOURCE",$C$6,$AC109,$N$9,$P109,$M$9,$M109)))</f>
        <v/>
      </c>
      <c r="R109" s="237"/>
      <c r="S109" s="238" t="str">
        <f t="shared" si="27"/>
        <v/>
      </c>
      <c r="T109" s="239" cm="1">
        <f t="array" ref="T109">IF(ISERROR((_xlfn.SINGLE(IF(OR(AD109="SINKABLE",AD109="CALL/SINK"),_xll.BDP($B109,$Q$10,"fill=b","PRICING_SOURCE",$C$6,$AC109,$M$9,$U109,"px ask",$AE109),_xll.BDP($B109,Q$9,"fill=b","PRICING_SOURCE",$C$6,$AC109,$M$9,$U109,"px ask",$AE109))))*1),"",IF(OR(AD109="SINKABLE",AD109="CALL/SINK"),_xll.BDP($B109,$Q$10,"fill=b","PRICING_SOURCE",$C$6,$AC109,$M$9,$U109,"px ask",$AE109),_xll.BDP($B109,Q$9,"fill=b","PRICING_SOURCE",$C$6,$AC109,$M$9,$U109,"px ask",$AE109)))</f>
        <v>93.708385837578319</v>
      </c>
      <c r="U109" s="240" t="str">
        <f t="shared" si="29"/>
        <v>20140505</v>
      </c>
      <c r="V109" s="254" t="e" cm="1">
        <f t="array" ref="V109">IF(B109="","",IF(I109="BZDIOVRA Index",IF(OR(AD109="SINKABLE",AD109="CALL/SINK"),_xll.BDP($B109,"PX_ASK",$Q$10,J109,$M$9,M109),_xll.BDP($B109,"PX_"&amp;$H$7,$Q$9,J109,$M$9,M109)),_xll.BDP($B109,"PX_"&amp;$H$7,$Q$9,_xll.BDP(B109,"CPN"),$M$9,M109)))</f>
        <v>#VALUE!</v>
      </c>
      <c r="W109" s="254" t="str">
        <f t="shared" si="30"/>
        <v/>
      </c>
      <c r="X109" s="166" t="e">
        <f>IF(B109="","",IF(OR(AD109="SINKABLE",AD109="CALL/SINK"),_xll.BDP($B109,X$9,"fill=b","PRICING_SOURCE",$C$6,$AC109,$M$9,$M109,$N$9,$P109,$Q$10,$S109),_xll.BDP($B109,X$9,"fill=b","PRICING_SOURCE",$C$6,$AC109,$M$9,$M109,$N$9,$P109,$Q$9,$S109)))</f>
        <v>#VALUE!</v>
      </c>
      <c r="Y109" s="166" t="e">
        <f>IF(B109="","",IF(OR(AD109="SINKABLE",AD109="CALL/SINK"),_xll.BDP($B109,Y$9,"fill=b","PRICING_SOURCE",$C$6,$AC109,$M$9,$M109,$N$9,$P109,$Q$10,$S109),_xll.BDP($B109,Y$9,"fill=b","PRICING_SOURCE",$C$6,$AC109,$M$9,$M109,$N$9,$P109,$Q$9,$S109)))</f>
        <v>#VALUE!</v>
      </c>
      <c r="Z109" s="255" t="e">
        <f>IF(B109="","",IF(OR(AD109="SINKABLE",AD109="CALL/SINK"),_xll.BDP($B109,Z$9,"fill=b","PRICING_SOURCE",$C$6,$AC109,$M$9,$M109,$N$9,$P109,$Q$10,$S109),_xll.BDP($B109,Z$9,"fill=b","PRICING_SOURCE",$C$6,$AC109,$M$9,$M109,$N$9,$P109,$Q$9,$S109)))</f>
        <v>#VALUE!</v>
      </c>
      <c r="AA109" s="166" t="e">
        <f>IF(B109="","",IF(OR(AD109="SINKABLE",AD109="CALL/SINK"),_xll.BDP($B109,AA$9,"fill=b","PRICING_SOURCE",$C$6,$AC109,$M$9,$M109,$N$9,$P109,$Q$10,$S109),_xll.BDP($B109,AA$9,"fill=b","PRICING_SOURCE",$C$6,$AC109,$M$9,$M109,$N$9,$P109,$Q$9,$S109)))</f>
        <v>#VALUE!</v>
      </c>
      <c r="AB109" s="150" t="str" cm="1">
        <f t="array" ref="AB109">IF(B109="","",IF(LEFT(_xlfn.SINGLE(_xll.BDP($B109,AB$9,"fill=b")),1)="#","-",_xll.BDP($B109,AB$9,"fill=b")))</f>
        <v>4/15/2024</v>
      </c>
      <c r="AC109" s="150" t="str">
        <f t="shared" si="28"/>
        <v>YLD FLAG=28</v>
      </c>
      <c r="AD109" s="150" t="str" cm="1">
        <f t="array" ref="AD109">IF(B109="","",_xll.BDP($B109,AD$9,"fill=b"))</f>
        <v>SINKABLE</v>
      </c>
      <c r="AE109" s="256" cm="1">
        <f t="array" ref="AE109">IF(B109="","",IF(ISERROR(_xlfn.SINGLE(_xll.BDH(B109,"PX LAST",AN109,AN109,"DAYS=ALL","PRICING SOURCE",$C$6))*1),_xll.BDP(B109,"PAR AMT"),_xll.BDH(B109,"PX LAST",AN109,AN109,"DAYS=ALL","PRICING SOURCE",$C$6)))</f>
        <v>3325.56</v>
      </c>
      <c r="AF109" s="150" cm="1">
        <f t="array" ref="AF109">IF(B109="","",_xll.BDP($B109,AF$9,"fill=b"))</f>
        <v>7.4943</v>
      </c>
      <c r="AG109" s="150"/>
      <c r="AH109" s="190" t="e">
        <f>IF(B109="","",IF($AD109="AT MATURITY",$AB109*1,_xll.BADDPERIODS(_xll.BDP($B109,"issue dt"),"numberofperiods",TRUNC(_xll.BDP($B109,"YRS_TO_LONGEST_AVG_LIFE","YLD_YTM_BID",AF109,"SETTLE_DT",U109,AC109),0),"per=y")+(ROUND(MOD(_xll.BDP(B109,"YRS_TO_LONGEST_AVG_LIFE","YLD_YTM_BID",AF109,"SETTLE_DT",U109,AC109),1)*360,0))))</f>
        <v>#VALUE!</v>
      </c>
      <c r="AI109" s="150" t="e" cm="1">
        <f t="array" ref="AI109">IF(B109="","",AF109-_xll.BInterpol(_xll.BDP(_xll.BDS("YCGT0372 Index","curve members","CURVE_DATE", $U109,"endcol=1","array=true"),"maturity")*1,_xll.BDH(_xll.BDS("YCGT0372 Index","curve members","CURVE_DATE", $U109,"endcol=1","array=true"),"yld cnv mid",$U109,$U109,"days=all"),AH109,"CUBIC","Extrapolate=LINEAR","SKIP=TRUE","SORT=TRUE","MultiX=Average"))</f>
        <v>#VALUE!</v>
      </c>
      <c r="AJ109" s="189" t="str">
        <f t="shared" si="31"/>
        <v/>
      </c>
      <c r="AK109" s="257" t="str" cm="1">
        <f t="array" ref="AK109">IF(B109="","",_xll.BDP($B109,AK$9,"fill=b"))</f>
        <v>500MM</v>
      </c>
      <c r="AL109" s="257" t="str" cm="1">
        <f t="array" ref="AL109">IF(B109="","",_xll.BDP($B109,AL$9,"fill=b"))</f>
        <v>0</v>
      </c>
      <c r="AM109" s="256" cm="1">
        <f t="array" ref="AM109">IF(B109="","",_xll.BDP($B109,AM$9,"fill=b"))</f>
        <v>3325.56</v>
      </c>
      <c r="AN109" s="150" t="str" cm="1">
        <f t="array" ref="AN109">IF(B109="","",_xll.BDP($B109,AN$9,"fill=b"))</f>
        <v>5/5/2014</v>
      </c>
      <c r="AO109" s="150" t="str" cm="1">
        <f t="array" ref="AO109">IF(B109="","",IF(LEFT(_xlfn.SINGLE(_xll.BDP($B109,AO$9,"fill=b")),1)="#","-",_xll.BDP($B109,AO$9,"fill=b")))</f>
        <v>BTG,BESINV,HSBC</v>
      </c>
      <c r="AP109" s="150" t="str" cm="1">
        <f t="array" ref="AP109">IF(B109="","",_xll.BDP($B109,AP$9,"fill=b"))</f>
        <v>Energy</v>
      </c>
      <c r="AQ109" s="150" t="str" cm="1">
        <f t="array" ref="AQ109">IF(B109="","",_xll.BDP($B109,AQ$9,"fill=b"))</f>
        <v>Energy-Alternate Sources</v>
      </c>
      <c r="AR109" s="150" t="str" cm="1">
        <f t="array" ref="AR109">IF(B109="","",_xll.BDP($B109,AR$9,"fill=b"))</f>
        <v>NR</v>
      </c>
      <c r="AS109" s="150" t="str" cm="1">
        <f t="array" ref="AS109">IF(B109="","",_xll.BDP($B109,AS$9,"fill=b"))</f>
        <v/>
      </c>
      <c r="AT109" s="150" t="str" cm="1">
        <f t="array" ref="AT109">IF(B109="","",_xll.BDP($B109,AT$9,"fill=b"))</f>
        <v>NR</v>
      </c>
      <c r="AU109" s="258" t="str" cm="1">
        <f t="array" ref="AU109">IF(B109="","",_xll.BDP($B109,AU$9,"fill=b"))</f>
        <v>CPN = BZCLVLUE INDEX + 749.43 BPS. ISSUED UNDER LAW 12.431.</v>
      </c>
    </row>
    <row r="110" spans="2:47" ht="15" x14ac:dyDescent="0.25">
      <c r="B110" s="232" t="s">
        <v>248</v>
      </c>
      <c r="C110" s="150" t="str" cm="1">
        <f t="array" ref="C110">IF(B110="","",_xll.BDP($B110,C$9,"fill=b"))</f>
        <v>AGRU11</v>
      </c>
      <c r="D110" s="150" t="str" cm="1">
        <f t="array" ref="D110">IF(B110="","",_xll.BDP($B110,D$9,"fill=b"))</f>
        <v>CAIGBZ 7.86 03/15/25</v>
      </c>
      <c r="E110" s="150" t="str" cm="1">
        <f t="array" ref="E110">IF(B110="","",_xll.BDP($B110,E$9,"fill=b"))</f>
        <v>CONCESSIONARIA DO AEROPO</v>
      </c>
      <c r="F110" s="150" t="str" cm="1">
        <f t="array" ref="F110">IF(B110="","",IF(LEFT(_xlfn.SINGLE(_xll.BDP($B110,F$9,"fill=b")),1)="#","-",_xll.BDP($B110,F$9,"fill=b")))</f>
        <v>IVPR3B BZ</v>
      </c>
      <c r="G110" s="150" t="str" cm="1">
        <f t="array" ref="G110">IF(B110="","",_xll.BDP($B110,G$9,"fill=b"))</f>
        <v>BRAZIL IPCA+SPREAD</v>
      </c>
      <c r="H110" s="150" t="str" cm="1">
        <f t="array" ref="H110">IF(B110="","",_xll.BDP($B110,H$9,"fill=b"))</f>
        <v/>
      </c>
      <c r="I110" s="150" t="str" cm="1">
        <f t="array" ref="I110">IF(LEFT(_xlfn.SINGLE(_xll.BDP(B110,"REFERENCE_INDEX")),1)="#",IF(LEFT(_xlfn.SINGLE(_xll.BDP(B110, "RESET_IDX"))&amp;" Index",1)="#","",_xlfn.SINGLE(_xll.BDP(B110, "RESET_IDX"))&amp;" Index"),_xll.BDP(B110,"REFERENCE_INDEX"))</f>
        <v>BZCLVLUE Index</v>
      </c>
      <c r="J110" s="150" t="str">
        <f>IF(I110="BZDIOVRA Index",IF(_xll.BDP(B110,"FLT_SPREAD")/100=0,_xll.BDP(B110,"FLT_BENCH_MULTIPLIER"),_xll.BDP(B110,"FLT_SPREAD")/100),"")</f>
        <v/>
      </c>
      <c r="K110" s="150" t="str" cm="1">
        <f t="array" ref="K110">IF(B110="","",IF(LEFT(_xlfn.SINGLE(_xll.BDP($B110,K$9,"fill=b")),1)="#","-",_xll.BDP($B110,K$9,"fill=b")))</f>
        <v>-</v>
      </c>
      <c r="L110" s="233"/>
      <c r="M110" s="234" t="e">
        <f t="shared" si="25"/>
        <v>#VALUE!</v>
      </c>
      <c r="N110" s="252" t="e">
        <f>IF(B110="","",IF(R110="",IF(OR(AD110="SINKABLE",AD110="CALL/SINK"),_xll.BDP(B110,$N$9,$M$9,M110,"PRICING SOURCE",$C$6,"FILL=B"),_xll.BDP(B110,$N$9,$M$9,M110,"PRICING SOURCE",$C$6,"FILL=B")),IF(OR(AD110="SINKABLE",AD110="CALL/SINK"),_xll.BDP(B110,$N$9,$Q$10,S110,$M$9,M110,"PRICING SOURCE",$C$6,"FILL=B"),_xll.BDP(B110,$N$9,$Q$9,S110,$M$9,M110,"PRICING SOURCE",$C$6,"FILL=B"))))</f>
        <v>#VALUE!</v>
      </c>
      <c r="O110" s="235"/>
      <c r="P110" s="236" t="e">
        <f t="shared" si="26"/>
        <v>#VALUE!</v>
      </c>
      <c r="Q110" s="166" t="str">
        <f>IF(ISERROR((IF(OR(AD110="SINKABLE",AD110="CALL/SINK"),_xll.BDP($B110,$Q$10,"fill=b","PRICING_SOURCE",$C$6,$AC110,$N$9,$P110,$M$9,$M110),_xll.BDP($B110,Q$9,"fill=b","PRICING_SOURCE",$C$6,$AC110,$N$9,$P110,$M$9,$M110)))*1),"",IF(OR(AD110="SINKABLE",AD110="CALL/SINK"),_xll.BDP($B110,$Q$10,"fill=b","PRICING_SOURCE",$C$6,$AC110,$N$9,$P110,$M$9,$M110),_xll.BDP($B110,Q$9,"fill=b","PRICING_SOURCE",$C$6,$AC110,$N$9,$P110,$M$9,$M110)))</f>
        <v/>
      </c>
      <c r="R110" s="237"/>
      <c r="S110" s="238" t="str">
        <f t="shared" si="27"/>
        <v/>
      </c>
      <c r="T110" s="239" cm="1">
        <f t="array" ref="T110">IF(ISERROR((_xlfn.SINGLE(IF(OR(AD110="SINKABLE",AD110="CALL/SINK"),_xll.BDP($B110,$Q$10,"fill=b","PRICING_SOURCE",$C$6,$AC110,$M$9,$U110,"px ask",$AE110),_xll.BDP($B110,Q$9,"fill=b","PRICING_SOURCE",$C$6,$AC110,$M$9,$U110,"px ask",$AE110))))*1),"",IF(OR(AD110="SINKABLE",AD110="CALL/SINK"),_xll.BDP($B110,$Q$10,"fill=b","PRICING_SOURCE",$C$6,$AC110,$M$9,$U110,"px ask",$AE110),_xll.BDP($B110,Q$9,"fill=b","PRICING_SOURCE",$C$6,$AC110,$M$9,$U110,"px ask",$AE110)))</f>
        <v>97.179244323605403</v>
      </c>
      <c r="U110" s="240" t="str">
        <f t="shared" si="29"/>
        <v>20140321</v>
      </c>
      <c r="V110" s="254" t="e" cm="1">
        <f t="array" ref="V110">IF(B110="","",IF(I110="BZDIOVRA Index",IF(OR(AD110="SINKABLE",AD110="CALL/SINK"),_xll.BDP($B110,"PX_ASK",$Q$10,J110,$M$9,M110),_xll.BDP($B110,"PX_"&amp;$H$7,$Q$9,J110,$M$9,M110)),_xll.BDP($B110,"PX_"&amp;$H$7,$Q$9,_xll.BDP(B110,"CPN"),$M$9,M110)))</f>
        <v>#VALUE!</v>
      </c>
      <c r="W110" s="254" t="str">
        <f t="shared" si="30"/>
        <v/>
      </c>
      <c r="X110" s="166" t="e">
        <f>IF(B110="","",IF(OR(AD110="SINKABLE",AD110="CALL/SINK"),_xll.BDP($B110,X$9,"fill=b","PRICING_SOURCE",$C$6,$AC110,$M$9,$M110,$N$9,$P110,$Q$10,$S110),_xll.BDP($B110,X$9,"fill=b","PRICING_SOURCE",$C$6,$AC110,$M$9,$M110,$N$9,$P110,$Q$9,$S110)))</f>
        <v>#VALUE!</v>
      </c>
      <c r="Y110" s="166" t="e">
        <f>IF(B110="","",IF(OR(AD110="SINKABLE",AD110="CALL/SINK"),_xll.BDP($B110,Y$9,"fill=b","PRICING_SOURCE",$C$6,$AC110,$M$9,$M110,$N$9,$P110,$Q$10,$S110),_xll.BDP($B110,Y$9,"fill=b","PRICING_SOURCE",$C$6,$AC110,$M$9,$M110,$N$9,$P110,$Q$9,$S110)))</f>
        <v>#VALUE!</v>
      </c>
      <c r="Z110" s="255" t="e">
        <f>IF(B110="","",IF(OR(AD110="SINKABLE",AD110="CALL/SINK"),_xll.BDP($B110,Z$9,"fill=b","PRICING_SOURCE",$C$6,$AC110,$M$9,$M110,$N$9,$P110,$Q$10,$S110),_xll.BDP($B110,Z$9,"fill=b","PRICING_SOURCE",$C$6,$AC110,$M$9,$M110,$N$9,$P110,$Q$9,$S110)))</f>
        <v>#VALUE!</v>
      </c>
      <c r="AA110" s="166" t="e">
        <f>IF(B110="","",IF(OR(AD110="SINKABLE",AD110="CALL/SINK"),_xll.BDP($B110,AA$9,"fill=b","PRICING_SOURCE",$C$6,$AC110,$M$9,$M110,$N$9,$P110,$Q$10,$S110),_xll.BDP($B110,AA$9,"fill=b","PRICING_SOURCE",$C$6,$AC110,$M$9,$M110,$N$9,$P110,$Q$9,$S110)))</f>
        <v>#VALUE!</v>
      </c>
      <c r="AB110" s="150" t="str" cm="1">
        <f t="array" ref="AB110">IF(B110="","",IF(LEFT(_xlfn.SINGLE(_xll.BDP($B110,AB$9,"fill=b")),1)="#","-",_xll.BDP($B110,AB$9,"fill=b")))</f>
        <v>3/15/2025</v>
      </c>
      <c r="AC110" s="150" t="str">
        <f t="shared" si="28"/>
        <v>YLD FLAG=28</v>
      </c>
      <c r="AD110" s="150" t="str" cm="1">
        <f t="array" ref="AD110">IF(B110="","",_xll.BDP($B110,AD$9,"fill=b"))</f>
        <v>SINKABLE</v>
      </c>
      <c r="AE110" s="256" cm="1">
        <f t="array" ref="AE110">IF(B110="","",IF(ISERROR(_xlfn.SINGLE(_xll.BDH(B110,"PX LAST",AN110,AN110,"DAYS=ALL","PRICING SOURCE",$C$6))*1),_xll.BDP(B110,"PAR AMT"),_xll.BDH(B110,"PX LAST",AN110,AN110,"DAYS=ALL","PRICING SOURCE",$C$6)))</f>
        <v>403.84712609999997</v>
      </c>
      <c r="AF110" s="150" cm="1">
        <f t="array" ref="AF110">IF(B110="","",_xll.BDP($B110,AF$9,"fill=b"))</f>
        <v>7.86</v>
      </c>
      <c r="AG110" s="150"/>
      <c r="AH110" s="190">
        <f>IF(B110="","",IF($AD110="AT MATURITY",$AB110*1,_xll.BADDPERIODS(_xll.BDP($B110,"issue dt"),"numberofperiods",TRUNC(_xll.BDP($B110,"YRS_TO_LONGEST_AVG_LIFE","YLD_YTM_BID",AF110,"SETTLE_DT",U110,AC110),0),"per=y")+(ROUND(MOD(_xll.BDP(B110,"YRS_TO_LONGEST_AVG_LIFE","YLD_YTM_BID",AF110,"SETTLE_DT",U110,AC110),1)*360,0))))</f>
        <v>73091</v>
      </c>
      <c r="AI110" s="150" t="e" cm="1">
        <f t="array" ref="AI110">IF(B110="","",AF110-_xll.BInterpol(_xll.BDP(_xll.BDS("YCGT0372 Index","curve members","CURVE_DATE", $U110,"endcol=1","array=true"),"maturity")*1,_xll.BDH(_xll.BDS("YCGT0372 Index","curve members","CURVE_DATE", $U110,"endcol=1","array=true"),"yld cnv mid",$U110,$U110,"days=all"),AH110,"CUBIC","Extrapolate=LINEAR","SKIP=TRUE","SORT=TRUE","MultiX=Average"))</f>
        <v>#VALUE!</v>
      </c>
      <c r="AJ110" s="189" t="str">
        <f t="shared" si="31"/>
        <v/>
      </c>
      <c r="AK110" s="257" t="str" cm="1">
        <f t="array" ref="AK110">IF(B110="","",_xll.BDP($B110,AK$9,"fill=b"))</f>
        <v>75MM</v>
      </c>
      <c r="AL110" s="257" t="str" cm="1">
        <f t="array" ref="AL110">IF(B110="","",_xll.BDP($B110,AL$9,"fill=b"))</f>
        <v>0</v>
      </c>
      <c r="AM110" s="256" cm="1">
        <f t="array" ref="AM110">IF(B110="","",_xll.BDP($B110,AM$9,"fill=b"))</f>
        <v>403.84712609999997</v>
      </c>
      <c r="AN110" s="150" t="str" cm="1">
        <f t="array" ref="AN110">IF(B110="","",_xll.BDP($B110,AN$9,"fill=b"))</f>
        <v>3/21/2014</v>
      </c>
      <c r="AO110" s="150" t="str" cm="1">
        <f t="array" ref="AO110">IF(B110="","",IF(LEFT(_xlfn.SINGLE(_xll.BDP($B110,AO$9,"fill=b")),1)="#","-",_xll.BDP($B110,AO$9,"fill=b")))</f>
        <v>JOINT LEADS</v>
      </c>
      <c r="AP110" s="150" t="str" cm="1">
        <f t="array" ref="AP110">IF(B110="","",_xll.BDP($B110,AP$9,"fill=b"))</f>
        <v>Industrial</v>
      </c>
      <c r="AQ110" s="150" t="str" cm="1">
        <f t="array" ref="AQ110">IF(B110="","",_xll.BDP($B110,AQ$9,"fill=b"))</f>
        <v>Transportation</v>
      </c>
      <c r="AR110" s="150" t="str" cm="1">
        <f t="array" ref="AR110">IF(B110="","",_xll.BDP($B110,AR$9,"fill=b"))</f>
        <v/>
      </c>
      <c r="AS110" s="150" t="str" cm="1">
        <f t="array" ref="AS110">IF(B110="","",_xll.BDP($B110,AS$9,"fill=b"))</f>
        <v/>
      </c>
      <c r="AT110" s="150" t="str" cm="1">
        <f t="array" ref="AT110">IF(B110="","",_xll.BDP($B110,AT$9,"fill=b"))</f>
        <v>NR</v>
      </c>
      <c r="AU110" s="258" t="str" cm="1">
        <f t="array" ref="AU110">IF(B110="","",_xll.BDP($B110,AU$9,"fill=b"))</f>
        <v>CPN = BZCLVLUE INDEX + 786 BPS. ISSUED UNDER ICVM 476/09 AND LAW 12.431.</v>
      </c>
    </row>
    <row r="111" spans="2:47" ht="15" x14ac:dyDescent="0.25">
      <c r="B111" s="232"/>
      <c r="C111" s="150" t="str">
        <f>IF(B111="","",_xll.BDP($B111,C$9,"fill=b"))</f>
        <v/>
      </c>
      <c r="D111" s="150" t="str">
        <f>IF(B111="","",_xll.BDP($B111,D$9,"fill=b"))</f>
        <v/>
      </c>
      <c r="E111" s="150" t="str">
        <f>IF(B111="","",_xll.BDP($B111,E$9,"fill=b"))</f>
        <v/>
      </c>
      <c r="F111" s="150" t="str">
        <f>IF(B111="","",IF(LEFT(_xll.BDP($B111,F$9,"fill=b"),1)="#","-",_xll.BDP($B111,F$9,"fill=b")))</f>
        <v/>
      </c>
      <c r="G111" s="150" t="str">
        <f>IF(B111="","",_xll.BDP($B111,G$9,"fill=b"))</f>
        <v/>
      </c>
      <c r="H111" s="150" t="str">
        <f>IF(B111="","",_xll.BDP($B111,H$9,"fill=b"))</f>
        <v/>
      </c>
      <c r="I111" s="150" t="str" cm="1">
        <f t="array" ref="I111">IF(LEFT(_xlfn.SINGLE(_xll.BDP(B111,"REFERENCE_INDEX")),1)="#",IF(LEFT(_xlfn.SINGLE(_xll.BDP(B111, "RESET_IDX"))&amp;" Index",1)="#","",_xlfn.SINGLE(_xll.BDP(B111, "RESET_IDX"))&amp;" Index"),_xll.BDP(B111,"REFERENCE_INDEX"))</f>
        <v/>
      </c>
      <c r="J111" s="150" t="str">
        <f>IF(I111="BZDIOVRA Index",IF(_xll.BDP(B111,"FLT_SPREAD")/100=0,_xll.BDP(B111,"FLT_BENCH_MULTIPLIER"),_xll.BDP(B111,"FLT_SPREAD")/100),"")</f>
        <v/>
      </c>
      <c r="K111" s="150" t="str">
        <f>IF(B111="","",IF(LEFT(_xll.BDP($B111,K$9,"fill=b"),1)="#","-",_xll.BDP($B111,K$9,"fill=b")))</f>
        <v/>
      </c>
      <c r="L111" s="233"/>
      <c r="M111" s="234" t="str">
        <f t="shared" si="25"/>
        <v/>
      </c>
      <c r="N111" s="252" t="str">
        <f>IF(B111="","",IF(R111="",IF(OR(AD111="SINKABLE",AD111="CALL/SINK"),_xll.BDP(B111,$N$9,$M$9,M111,"PRICING SOURCE",$C$6,"FILL=B"),_xll.BDP(B111,$N$9,$M$9,M111,"PRICING SOURCE",$C$6,"FILL=B")),IF(OR(AD111="SINKABLE",AD111="CALL/SINK"),_xll.BDP(B111,$N$9,$Q$10,S111,$M$9,M111,"PRICING SOURCE",$C$6,"FILL=B"),_xll.BDP(B111,$N$9,$Q$9,S111,$M$9,M111,"PRICING SOURCE",$C$6,"FILL=B"))))</f>
        <v/>
      </c>
      <c r="O111" s="235"/>
      <c r="P111" s="236" t="str">
        <f t="shared" si="26"/>
        <v/>
      </c>
      <c r="Q111" s="166" t="str" cm="1">
        <f t="array" ref="Q111">IF(ISERROR((_xlfn.SINGLE(IF(OR(AD111="SINKABLE",AD111="CALL/SINK"),_xll.BDP($B111,$Q$10,"fill=b","PRICING_SOURCE",$C$6,$AC111,$N$9,$P111,$M$9,$M111),_xll.BDP($B111,Q$9,"fill=b","PRICING_SOURCE",$C$6,$AC111,$N$9,$P111,$M$9,$M111))))*1),"",IF(OR(AD111="SINKABLE",AD111="CALL/SINK"),_xll.BDP($B111,$Q$10,"fill=b","PRICING_SOURCE",$C$6,$AC111,$N$9,$P111,$M$9,$M111),_xll.BDP($B111,Q$9,"fill=b","PRICING_SOURCE",$C$6,$AC111,$N$9,$P111,$M$9,$M111)))</f>
        <v/>
      </c>
      <c r="R111" s="237"/>
      <c r="S111" s="238" t="str">
        <f t="shared" si="27"/>
        <v/>
      </c>
      <c r="T111" s="239" t="str" cm="1">
        <f t="array" ref="T111">IF(ISERROR((_xlfn.SINGLE(IF(OR(AD111="SINKABLE",AD111="CALL/SINK"),_xll.BDP($B111,$Q$10,"fill=b","PRICING_SOURCE",$C$6,$AC111,$M$9,$U111,"px ask",$AE111),_xll.BDP($B111,Q$9,"fill=b","PRICING_SOURCE",$C$6,$AC111,$M$9,$U111,"px ask",$AE111))))*1),"",IF(OR(AD111="SINKABLE",AD111="CALL/SINK"),_xll.BDP($B111,$Q$10,"fill=b","PRICING_SOURCE",$C$6,$AC111,$M$9,$U111,"px ask",$AE111),_xll.BDP($B111,Q$9,"fill=b","PRICING_SOURCE",$C$6,$AC111,$M$9,$U111,"px ask",$AE111)))</f>
        <v/>
      </c>
      <c r="U111" s="240" t="str">
        <f t="shared" si="29"/>
        <v/>
      </c>
      <c r="V111" s="254" t="str">
        <f>IF(B111="","",IF(I111="BZDIOVRA Index",IF(OR(AD111="SINKABLE",AD111="CALL/SINK"),_xll.BDP($B111,"PX_ASK",$Q$10,J111,$M$9,M111),_xll.BDP($B111,"PX_"&amp;$H$7,$Q$9,J111,$M$9,M111)),_xll.BDP($B111,"PX_"&amp;$H$7,$Q$9,_xll.BDP(B111,"CPN"),$M$9,M111)))</f>
        <v/>
      </c>
      <c r="W111" s="254" t="str">
        <f t="shared" si="30"/>
        <v/>
      </c>
      <c r="X111" s="166" t="str">
        <f>IF(B111="","",IF(OR(AD111="SINKABLE",AD111="CALL/SINK"),_xll.BDP($B111,X$9,"fill=b","PRICING_SOURCE",$C$6,$AC111,$M$9,$M111,$N$9,$P111,$Q$10,$S111),_xll.BDP($B111,X$9,"fill=b","PRICING_SOURCE",$C$6,$AC111,$M$9,$M111,$N$9,$P111,$Q$9,$S111)))</f>
        <v/>
      </c>
      <c r="Y111" s="166" t="str">
        <f>IF(B111="","",IF(OR(AD111="SINKABLE",AD111="CALL/SINK"),_xll.BDP($B111,Y$9,"fill=b","PRICING_SOURCE",$C$6,$AC111,$M$9,$M111,$N$9,$P111,$Q$10,$S111),_xll.BDP($B111,Y$9,"fill=b","PRICING_SOURCE",$C$6,$AC111,$M$9,$M111,$N$9,$P111,$Q$9,$S111)))</f>
        <v/>
      </c>
      <c r="Z111" s="255" t="str">
        <f>IF(B111="","",IF(OR(AD111="SINKABLE",AD111="CALL/SINK"),_xll.BDP($B111,Z$9,"fill=b","PRICING_SOURCE",$C$6,$AC111,$M$9,$M111,$N$9,$P111,$Q$10,$S111),_xll.BDP($B111,Z$9,"fill=b","PRICING_SOURCE",$C$6,$AC111,$M$9,$M111,$N$9,$P111,$Q$9,$S111)))</f>
        <v/>
      </c>
      <c r="AA111" s="166" t="str">
        <f>IF(B111="","",IF(OR(AD111="SINKABLE",AD111="CALL/SINK"),_xll.BDP($B111,AA$9,"fill=b","PRICING_SOURCE",$C$6,$AC111,$M$9,$M111,$N$9,$P111,$Q$10,$S111),_xll.BDP($B111,AA$9,"fill=b","PRICING_SOURCE",$C$6,$AC111,$M$9,$M111,$N$9,$P111,$Q$9,$S111)))</f>
        <v/>
      </c>
      <c r="AB111" s="150" t="str">
        <f>IF(B111="","",IF(LEFT(_xll.BDP($B111,AB$9,"fill=b"),1)="#","-",_xll.BDP($B111,AB$9,"fill=b")))</f>
        <v/>
      </c>
      <c r="AC111" s="150" t="str">
        <f t="shared" si="28"/>
        <v>YLD FLAG=2</v>
      </c>
      <c r="AD111" s="150" t="str">
        <f>IF(B111="","",_xll.BDP($B111,AD$9,"fill=b"))</f>
        <v/>
      </c>
      <c r="AE111" s="256" t="str">
        <f>IF(B111="","",IF(ISERROR(_xll.BDH(B111,"PX LAST",AN111,AN111,"DAYS=ALL","PRICING SOURCE",$C$6)*1),_xll.BDP(B111,"PAR AMT"),_xll.BDH(B111,"PX LAST",AN111,AN111,"DAYS=ALL","PRICING SOURCE",$C$6)))</f>
        <v/>
      </c>
      <c r="AF111" s="150" t="str">
        <f>IF(B111="","",_xll.BDP($B111,AF$9,"fill=b"))</f>
        <v/>
      </c>
      <c r="AG111" s="150"/>
      <c r="AH111" s="190" t="str">
        <f>IF(B111="","",IF($AD111="AT MATURITY",$AB111*1,_xll.BADDPERIODS(_xll.BDP($B111,"issue dt"),"numberofperiods",TRUNC(_xll.BDP($B111,"YRS_TO_LONGEST_AVG_LIFE","YLD_YTM_BID",AF111,"SETTLE_DT",U111,AC111),0),"per=y")+(ROUND(MOD(_xll.BDP(B111,"YRS_TO_LONGEST_AVG_LIFE","YLD_YTM_BID",AF111,"SETTLE_DT",U111,AC111),1)*360,0))))</f>
        <v/>
      </c>
      <c r="AI111" s="150" t="str">
        <f t="array" ref="AI111">IF(B111="","",AF111-_xll.BInterpol(_xll.BDP(_xll.BDS("YCGT0372 Index","curve members","CURVE_DATE", $U111,"endcol=1","array=true"),"maturity")*1,_xll.BDH(_xll.BDS("YCGT0372 Index","curve members","CURVE_DATE", $U111,"endcol=1","array=true"),"yld cnv mid",$U111,$U111,"days=all"),AH111,"CUBIC","Extrapolate=LINEAR","SKIP=TRUE","SORT=TRUE","MultiX=Average"))</f>
        <v/>
      </c>
      <c r="AJ111" s="189" t="str">
        <f t="shared" si="31"/>
        <v/>
      </c>
      <c r="AK111" s="257" t="str">
        <f>IF(B111="","",_xll.BDP($B111,AK$9,"fill=b"))</f>
        <v/>
      </c>
      <c r="AL111" s="257" t="str">
        <f>IF(B111="","",_xll.BDP($B111,AL$9,"fill=b"))</f>
        <v/>
      </c>
      <c r="AM111" s="256" t="str">
        <f>IF(B111="","",_xll.BDP($B111,AM$9,"fill=b"))</f>
        <v/>
      </c>
      <c r="AN111" s="150" t="str">
        <f>IF(B111="","",_xll.BDP($B111,AN$9,"fill=b"))</f>
        <v/>
      </c>
      <c r="AO111" s="150" t="str">
        <f>IF(B111="","",IF(LEFT(_xll.BDP($B111,AO$9,"fill=b"),1)="#","-",_xll.BDP($B111,AO$9,"fill=b")))</f>
        <v/>
      </c>
      <c r="AP111" s="150" t="str">
        <f>IF(B111="","",_xll.BDP($B111,AP$9,"fill=b"))</f>
        <v/>
      </c>
      <c r="AQ111" s="150" t="str">
        <f>IF(B111="","",_xll.BDP($B111,AQ$9,"fill=b"))</f>
        <v/>
      </c>
      <c r="AR111" s="150" t="str">
        <f>IF(B111="","",_xll.BDP($B111,AR$9,"fill=b"))</f>
        <v/>
      </c>
      <c r="AS111" s="150" t="str">
        <f>IF(B111="","",_xll.BDP($B111,AS$9,"fill=b"))</f>
        <v/>
      </c>
      <c r="AT111" s="150" t="str">
        <f>IF(B111="","",_xll.BDP($B111,AT$9,"fill=b"))</f>
        <v/>
      </c>
      <c r="AU111" s="258" t="str">
        <f>IF(B111="","",_xll.BDP($B111,AU$9,"fill=b"))</f>
        <v/>
      </c>
    </row>
    <row r="112" spans="2:47" ht="15" x14ac:dyDescent="0.25">
      <c r="B112" s="232"/>
      <c r="C112" s="150" t="str">
        <f>IF(B112="","",_xll.BDP($B112,C$9,"fill=b"))</f>
        <v/>
      </c>
      <c r="D112" s="150" t="str">
        <f>IF(B112="","",_xll.BDP($B112,D$9,"fill=b"))</f>
        <v/>
      </c>
      <c r="E112" s="150" t="str">
        <f>IF(B112="","",_xll.BDP($B112,E$9,"fill=b"))</f>
        <v/>
      </c>
      <c r="F112" s="150" t="str">
        <f>IF(B112="","",IF(LEFT(_xll.BDP($B112,F$9,"fill=b"),1)="#","-",_xll.BDP($B112,F$9,"fill=b")))</f>
        <v/>
      </c>
      <c r="G112" s="150" t="str">
        <f>IF(B112="","",_xll.BDP($B112,G$9,"fill=b"))</f>
        <v/>
      </c>
      <c r="H112" s="150" t="str">
        <f>IF(B112="","",_xll.BDP($B112,H$9,"fill=b"))</f>
        <v/>
      </c>
      <c r="I112" s="150" t="str" cm="1">
        <f t="array" ref="I112">IF(LEFT(_xlfn.SINGLE(_xll.BDP(B112,"REFERENCE_INDEX")),1)="#",IF(LEFT(_xlfn.SINGLE(_xll.BDP(B112, "RESET_IDX"))&amp;" Index",1)="#","",_xlfn.SINGLE(_xll.BDP(B112, "RESET_IDX"))&amp;" Index"),_xll.BDP(B112,"REFERENCE_INDEX"))</f>
        <v/>
      </c>
      <c r="J112" s="150" t="str">
        <f>IF(I112="BZDIOVRA Index",IF(_xll.BDP(B112,"FLT_SPREAD")/100=0,_xll.BDP(B112,"FLT_BENCH_MULTIPLIER"),_xll.BDP(B112,"FLT_SPREAD")/100),"")</f>
        <v/>
      </c>
      <c r="K112" s="150" t="str">
        <f>IF(B112="","",IF(LEFT(_xll.BDP($B112,K$9,"fill=b"),1)="#","-",_xll.BDP($B112,K$9,"fill=b")))</f>
        <v/>
      </c>
      <c r="L112" s="233"/>
      <c r="M112" s="234" t="str">
        <f t="shared" si="25"/>
        <v/>
      </c>
      <c r="N112" s="252" t="str">
        <f>IF(B112="","",IF(R112="",IF(OR(AD112="SINKABLE",AD112="CALL/SINK"),_xll.BDP(B112,$N$9,$M$9,M112,"PRICING SOURCE",$C$6,"FILL=B"),_xll.BDP(B112,$N$9,$M$9,M112,"PRICING SOURCE",$C$6,"FILL=B")),IF(OR(AD112="SINKABLE",AD112="CALL/SINK"),_xll.BDP(B112,$N$9,$Q$10,S112,$M$9,M112,"PRICING SOURCE",$C$6,"FILL=B"),_xll.BDP(B112,$N$9,$Q$9,S112,$M$9,M112,"PRICING SOURCE",$C$6,"FILL=B"))))</f>
        <v/>
      </c>
      <c r="O112" s="235"/>
      <c r="P112" s="236" t="str">
        <f t="shared" si="26"/>
        <v/>
      </c>
      <c r="Q112" s="166" t="str" cm="1">
        <f t="array" ref="Q112">IF(ISERROR((_xlfn.SINGLE(IF(OR(AD112="SINKABLE",AD112="CALL/SINK"),_xll.BDP($B112,$Q$10,"fill=b","PRICING_SOURCE",$C$6,$AC112,$N$9,$P112,$M$9,$M112),_xll.BDP($B112,Q$9,"fill=b","PRICING_SOURCE",$C$6,$AC112,$N$9,$P112,$M$9,$M112))))*1),"",IF(OR(AD112="SINKABLE",AD112="CALL/SINK"),_xll.BDP($B112,$Q$10,"fill=b","PRICING_SOURCE",$C$6,$AC112,$N$9,$P112,$M$9,$M112),_xll.BDP($B112,Q$9,"fill=b","PRICING_SOURCE",$C$6,$AC112,$N$9,$P112,$M$9,$M112)))</f>
        <v/>
      </c>
      <c r="R112" s="237"/>
      <c r="S112" s="238" t="str">
        <f t="shared" si="27"/>
        <v/>
      </c>
      <c r="T112" s="239" t="str" cm="1">
        <f t="array" ref="T112">IF(ISERROR((_xlfn.SINGLE(IF(OR(AD112="SINKABLE",AD112="CALL/SINK"),_xll.BDP($B112,$Q$10,"fill=b","PRICING_SOURCE",$C$6,$AC112,$M$9,$U112,"px ask",$AE112),_xll.BDP($B112,Q$9,"fill=b","PRICING_SOURCE",$C$6,$AC112,$M$9,$U112,"px ask",$AE112))))*1),"",IF(OR(AD112="SINKABLE",AD112="CALL/SINK"),_xll.BDP($B112,$Q$10,"fill=b","PRICING_SOURCE",$C$6,$AC112,$M$9,$U112,"px ask",$AE112),_xll.BDP($B112,Q$9,"fill=b","PRICING_SOURCE",$C$6,$AC112,$M$9,$U112,"px ask",$AE112)))</f>
        <v/>
      </c>
      <c r="U112" s="240" t="str">
        <f t="shared" si="29"/>
        <v/>
      </c>
      <c r="V112" s="254" t="str">
        <f>IF(B112="","",IF(I112="BZDIOVRA Index",IF(OR(AD112="SINKABLE",AD112="CALL/SINK"),_xll.BDP($B112,"PX_ASK",$Q$10,J112,$M$9,M112),_xll.BDP($B112,"PX_"&amp;$H$7,$Q$9,J112,$M$9,M112)),_xll.BDP($B112,"PX_"&amp;$H$7,$Q$9,_xll.BDP(B112,"CPN"),$M$9,M112)))</f>
        <v/>
      </c>
      <c r="W112" s="254" t="str">
        <f t="shared" si="30"/>
        <v/>
      </c>
      <c r="X112" s="166" t="str">
        <f>IF(B112="","",IF(OR(AD112="SINKABLE",AD112="CALL/SINK"),_xll.BDP($B112,X$9,"fill=b","PRICING_SOURCE",$C$6,$AC112,$M$9,$M112,$N$9,$P112,$Q$10,$S112),_xll.BDP($B112,X$9,"fill=b","PRICING_SOURCE",$C$6,$AC112,$M$9,$M112,$N$9,$P112,$Q$9,$S112)))</f>
        <v/>
      </c>
      <c r="Y112" s="166" t="str">
        <f>IF(B112="","",IF(OR(AD112="SINKABLE",AD112="CALL/SINK"),_xll.BDP($B112,Y$9,"fill=b","PRICING_SOURCE",$C$6,$AC112,$M$9,$M112,$N$9,$P112,$Q$10,$S112),_xll.BDP($B112,Y$9,"fill=b","PRICING_SOURCE",$C$6,$AC112,$M$9,$M112,$N$9,$P112,$Q$9,$S112)))</f>
        <v/>
      </c>
      <c r="Z112" s="255" t="str">
        <f>IF(B112="","",IF(OR(AD112="SINKABLE",AD112="CALL/SINK"),_xll.BDP($B112,Z$9,"fill=b","PRICING_SOURCE",$C$6,$AC112,$M$9,$M112,$N$9,$P112,$Q$10,$S112),_xll.BDP($B112,Z$9,"fill=b","PRICING_SOURCE",$C$6,$AC112,$M$9,$M112,$N$9,$P112,$Q$9,$S112)))</f>
        <v/>
      </c>
      <c r="AA112" s="166" t="str">
        <f>IF(B112="","",IF(OR(AD112="SINKABLE",AD112="CALL/SINK"),_xll.BDP($B112,AA$9,"fill=b","PRICING_SOURCE",$C$6,$AC112,$M$9,$M112,$N$9,$P112,$Q$10,$S112),_xll.BDP($B112,AA$9,"fill=b","PRICING_SOURCE",$C$6,$AC112,$M$9,$M112,$N$9,$P112,$Q$9,$S112)))</f>
        <v/>
      </c>
      <c r="AB112" s="150" t="str">
        <f>IF(B112="","",IF(LEFT(_xll.BDP($B112,AB$9,"fill=b"),1)="#","-",_xll.BDP($B112,AB$9,"fill=b")))</f>
        <v/>
      </c>
      <c r="AC112" s="150" t="str">
        <f t="shared" si="28"/>
        <v>YLD FLAG=2</v>
      </c>
      <c r="AD112" s="150" t="str">
        <f>IF(B112="","",_xll.BDP($B112,AD$9,"fill=b"))</f>
        <v/>
      </c>
      <c r="AE112" s="256" t="str">
        <f>IF(B112="","",IF(ISERROR(_xll.BDH(B112,"PX LAST",AN112,AN112,"DAYS=ALL","PRICING SOURCE",$C$6)*1),_xll.BDP(B112,"PAR AMT"),_xll.BDH(B112,"PX LAST",AN112,AN112,"DAYS=ALL","PRICING SOURCE",$C$6)))</f>
        <v/>
      </c>
      <c r="AF112" s="150" t="str">
        <f>IF(B112="","",_xll.BDP($B112,AF$9,"fill=b"))</f>
        <v/>
      </c>
      <c r="AG112" s="150"/>
      <c r="AH112" s="190" t="str">
        <f>IF(B112="","",IF($AD112="AT MATURITY",$AB112*1,_xll.BADDPERIODS(_xll.BDP($B112,"issue dt"),"numberofperiods",TRUNC(_xll.BDP($B112,"YRS_TO_LONGEST_AVG_LIFE","YLD_YTM_BID",AF112,"SETTLE_DT",U112,AC112),0),"per=y")+(ROUND(MOD(_xll.BDP(B112,"YRS_TO_LONGEST_AVG_LIFE","YLD_YTM_BID",AF112,"SETTLE_DT",U112,AC112),1)*360,0))))</f>
        <v/>
      </c>
      <c r="AI112" s="150" t="str">
        <f t="array" ref="AI112">IF(B112="","",AF112-_xll.BInterpol(_xll.BDP(_xll.BDS("YCGT0372 Index","curve members","CURVE_DATE", $U112,"endcol=1","array=true"),"maturity")*1,_xll.BDH(_xll.BDS("YCGT0372 Index","curve members","CURVE_DATE", $U112,"endcol=1","array=true"),"yld cnv mid",$U112,$U112,"days=all"),AH112,"CUBIC","Extrapolate=LINEAR","SKIP=TRUE","SORT=TRUE","MultiX=Average"))</f>
        <v/>
      </c>
      <c r="AJ112" s="189" t="str">
        <f t="shared" si="31"/>
        <v/>
      </c>
      <c r="AK112" s="257" t="str">
        <f>IF(B112="","",_xll.BDP($B112,AK$9,"fill=b"))</f>
        <v/>
      </c>
      <c r="AL112" s="257" t="str">
        <f>IF(B112="","",_xll.BDP($B112,AL$9,"fill=b"))</f>
        <v/>
      </c>
      <c r="AM112" s="256" t="str">
        <f>IF(B112="","",_xll.BDP($B112,AM$9,"fill=b"))</f>
        <v/>
      </c>
      <c r="AN112" s="150" t="str">
        <f>IF(B112="","",_xll.BDP($B112,AN$9,"fill=b"))</f>
        <v/>
      </c>
      <c r="AO112" s="150" t="str">
        <f>IF(B112="","",IF(LEFT(_xll.BDP($B112,AO$9,"fill=b"),1)="#","-",_xll.BDP($B112,AO$9,"fill=b")))</f>
        <v/>
      </c>
      <c r="AP112" s="150" t="str">
        <f>IF(B112="","",_xll.BDP($B112,AP$9,"fill=b"))</f>
        <v/>
      </c>
      <c r="AQ112" s="150" t="str">
        <f>IF(B112="","",_xll.BDP($B112,AQ$9,"fill=b"))</f>
        <v/>
      </c>
      <c r="AR112" s="150" t="str">
        <f>IF(B112="","",_xll.BDP($B112,AR$9,"fill=b"))</f>
        <v/>
      </c>
      <c r="AS112" s="150" t="str">
        <f>IF(B112="","",_xll.BDP($B112,AS$9,"fill=b"))</f>
        <v/>
      </c>
      <c r="AT112" s="150" t="str">
        <f>IF(B112="","",_xll.BDP($B112,AT$9,"fill=b"))</f>
        <v/>
      </c>
      <c r="AU112" s="258" t="str">
        <f>IF(B112="","",_xll.BDP($B112,AU$9,"fill=b"))</f>
        <v/>
      </c>
    </row>
    <row r="113" spans="2:47" ht="15" x14ac:dyDescent="0.25">
      <c r="B113" s="232"/>
      <c r="C113" s="150" t="str">
        <f>IF(B113="","",_xll.BDP($B113,C$9,"fill=b"))</f>
        <v/>
      </c>
      <c r="D113" s="150" t="str">
        <f>IF(B113="","",_xll.BDP($B113,D$9,"fill=b"))</f>
        <v/>
      </c>
      <c r="E113" s="150" t="str">
        <f>IF(B113="","",_xll.BDP($B113,E$9,"fill=b"))</f>
        <v/>
      </c>
      <c r="F113" s="150" t="str">
        <f>IF(B113="","",IF(LEFT(_xll.BDP($B113,F$9,"fill=b"),1)="#","-",_xll.BDP($B113,F$9,"fill=b")))</f>
        <v/>
      </c>
      <c r="G113" s="150" t="str">
        <f>IF(B113="","",_xll.BDP($B113,G$9,"fill=b"))</f>
        <v/>
      </c>
      <c r="H113" s="150" t="str">
        <f>IF(B113="","",_xll.BDP($B113,H$9,"fill=b"))</f>
        <v/>
      </c>
      <c r="I113" s="150" t="str" cm="1">
        <f t="array" ref="I113">IF(LEFT(_xlfn.SINGLE(_xll.BDP(B113,"REFERENCE_INDEX")),1)="#",IF(LEFT(_xlfn.SINGLE(_xll.BDP(B113, "RESET_IDX"))&amp;" Index",1)="#","",_xlfn.SINGLE(_xll.BDP(B113, "RESET_IDX"))&amp;" Index"),_xll.BDP(B113,"REFERENCE_INDEX"))</f>
        <v/>
      </c>
      <c r="J113" s="150" t="str">
        <f>IF(I113="BZDIOVRA Index",IF(_xll.BDP(B113,"FLT_SPREAD")/100=0,_xll.BDP(B113,"FLT_BENCH_MULTIPLIER"),_xll.BDP(B113,"FLT_SPREAD")/100),"")</f>
        <v/>
      </c>
      <c r="K113" s="150" t="str">
        <f>IF(B113="","",IF(LEFT(_xll.BDP($B113,K$9,"fill=b"),1)="#","-",_xll.BDP($B113,K$9,"fill=b")))</f>
        <v/>
      </c>
      <c r="L113" s="233"/>
      <c r="M113" s="234" t="str">
        <f t="shared" si="25"/>
        <v/>
      </c>
      <c r="N113" s="252" t="str">
        <f>IF(B113="","",IF(R113="",IF(OR(AD113="SINKABLE",AD113="CALL/SINK"),_xll.BDP(B113,$N$9,$M$9,M113,"PRICING SOURCE",$C$6,"FILL=B"),_xll.BDP(B113,$N$9,$M$9,M113,"PRICING SOURCE",$C$6,"FILL=B")),IF(OR(AD113="SINKABLE",AD113="CALL/SINK"),_xll.BDP(B113,$N$9,$Q$10,S113,$M$9,M113,"PRICING SOURCE",$C$6,"FILL=B"),_xll.BDP(B113,$N$9,$Q$9,S113,$M$9,M113,"PRICING SOURCE",$C$6,"FILL=B"))))</f>
        <v/>
      </c>
      <c r="O113" s="235"/>
      <c r="P113" s="236" t="str">
        <f t="shared" ref="P113:P121" si="32">IF(O113="",N113,O113)</f>
        <v/>
      </c>
      <c r="Q113" s="166" t="str" cm="1">
        <f t="array" ref="Q113">IF(ISERROR((_xlfn.SINGLE(IF(OR(AD113="SINKABLE",AD113="CALL/SINK"),_xll.BDP($B113,$Q$10,"fill=b","PRICING_SOURCE",$C$6,$AC113,$N$9,$P113,$M$9,$M113),_xll.BDP($B113,Q$9,"fill=b","PRICING_SOURCE",$C$6,$AC113,$N$9,$P113,$M$9,$M113))))*1),"",IF(OR(AD113="SINKABLE",AD113="CALL/SINK"),_xll.BDP($B113,$Q$10,"fill=b","PRICING_SOURCE",$C$6,$AC113,$N$9,$P113,$M$9,$M113),_xll.BDP($B113,Q$9,"fill=b","PRICING_SOURCE",$C$6,$AC113,$N$9,$P113,$M$9,$M113)))</f>
        <v/>
      </c>
      <c r="R113" s="237"/>
      <c r="S113" s="238" t="str">
        <f t="shared" ref="S113:S121" si="33">IF(R113="",Q113,R113)</f>
        <v/>
      </c>
      <c r="T113" s="239" t="str" cm="1">
        <f t="array" ref="T113">IF(ISERROR((_xlfn.SINGLE(IF(OR(AD113="SINKABLE",AD113="CALL/SINK"),_xll.BDP($B113,$Q$10,"fill=b","PRICING_SOURCE",$C$6,$AC113,$M$9,$U113,"px ask",$AE113),_xll.BDP($B113,Q$9,"fill=b","PRICING_SOURCE",$C$6,$AC113,$M$9,$U113,"px ask",$AE113))))*1),"",IF(OR(AD113="SINKABLE",AD113="CALL/SINK"),_xll.BDP($B113,$Q$10,"fill=b","PRICING_SOURCE",$C$6,$AC113,$M$9,$U113,"px ask",$AE113),_xll.BDP($B113,Q$9,"fill=b","PRICING_SOURCE",$C$6,$AC113,$M$9,$U113,"px ask",$AE113)))</f>
        <v/>
      </c>
      <c r="U113" s="240" t="str">
        <f t="shared" si="29"/>
        <v/>
      </c>
      <c r="V113" s="254" t="str">
        <f>IF(B113="","",IF(I113="BZDIOVRA Index",IF(OR(AD113="SINKABLE",AD113="CALL/SINK"),_xll.BDP($B113,"PX_ASK",$Q$10,J113,$M$9,M113),_xll.BDP($B113,"PX_"&amp;$H$7,$Q$9,J113,$M$9,M113)),_xll.BDP($B113,"PX_"&amp;$H$7,$Q$9,_xll.BDP(B113,"CPN"),$M$9,M113)))</f>
        <v/>
      </c>
      <c r="W113" s="254" t="str">
        <f t="shared" si="30"/>
        <v/>
      </c>
      <c r="X113" s="166" t="str">
        <f>IF(B113="","",IF(OR(AD113="SINKABLE",AD113="CALL/SINK"),_xll.BDP($B113,X$9,"fill=b","PRICING_SOURCE",$C$6,$AC113,$M$9,$M113,$N$9,$P113,$Q$10,$S113),_xll.BDP($B113,X$9,"fill=b","PRICING_SOURCE",$C$6,$AC113,$M$9,$M113,$N$9,$P113,$Q$9,$S113)))</f>
        <v/>
      </c>
      <c r="Y113" s="166" t="str">
        <f>IF(B113="","",IF(OR(AD113="SINKABLE",AD113="CALL/SINK"),_xll.BDP($B113,Y$9,"fill=b","PRICING_SOURCE",$C$6,$AC113,$M$9,$M113,$N$9,$P113,$Q$10,$S113),_xll.BDP($B113,Y$9,"fill=b","PRICING_SOURCE",$C$6,$AC113,$M$9,$M113,$N$9,$P113,$Q$9,$S113)))</f>
        <v/>
      </c>
      <c r="Z113" s="255" t="str">
        <f>IF(B113="","",IF(OR(AD113="SINKABLE",AD113="CALL/SINK"),_xll.BDP($B113,Z$9,"fill=b","PRICING_SOURCE",$C$6,$AC113,$M$9,$M113,$N$9,$P113,$Q$10,$S113),_xll.BDP($B113,Z$9,"fill=b","PRICING_SOURCE",$C$6,$AC113,$M$9,$M113,$N$9,$P113,$Q$9,$S113)))</f>
        <v/>
      </c>
      <c r="AA113" s="166" t="str">
        <f>IF(B113="","",IF(OR(AD113="SINKABLE",AD113="CALL/SINK"),_xll.BDP($B113,AA$9,"fill=b","PRICING_SOURCE",$C$6,$AC113,$M$9,$M113,$N$9,$P113,$Q$10,$S113),_xll.BDP($B113,AA$9,"fill=b","PRICING_SOURCE",$C$6,$AC113,$M$9,$M113,$N$9,$P113,$Q$9,$S113)))</f>
        <v/>
      </c>
      <c r="AB113" s="150" t="str">
        <f>IF(B113="","",IF(LEFT(_xll.BDP($B113,AB$9,"fill=b"),1)="#","-",_xll.BDP($B113,AB$9,"fill=b")))</f>
        <v/>
      </c>
      <c r="AC113" s="150" t="str">
        <f t="shared" ref="AC113:AC121" si="34">IF(OR(AD113="SINKABLE",AD113="CALL/SINK"),"YLD FLAG=28",IF(OR(AD113="AT MATURITY",AD113="CALLABLE"),"YLD FLAG=1","YLD FLAG=2"))</f>
        <v>YLD FLAG=2</v>
      </c>
      <c r="AD113" s="150" t="str">
        <f>IF(B113="","",_xll.BDP($B113,AD$9,"fill=b"))</f>
        <v/>
      </c>
      <c r="AE113" s="256" t="str">
        <f>IF(B113="","",IF(ISERROR(_xll.BDH(B113,"PX LAST",AN113,AN113,"DAYS=ALL","PRICING SOURCE",$C$6)*1),_xll.BDP(B113,"PAR AMT"),_xll.BDH(B113,"PX LAST",AN113,AN113,"DAYS=ALL","PRICING SOURCE",$C$6)))</f>
        <v/>
      </c>
      <c r="AF113" s="150" t="str">
        <f>IF(B113="","",_xll.BDP($B113,AF$9,"fill=b"))</f>
        <v/>
      </c>
      <c r="AG113" s="150"/>
      <c r="AH113" s="190" t="str">
        <f>IF(B113="","",IF($AD113="AT MATURITY",$AB113*1,_xll.BADDPERIODS(_xll.BDP($B113,"issue dt"),"numberofperiods",TRUNC(_xll.BDP($B113,"YRS_TO_LONGEST_AVG_LIFE","YLD_YTM_BID",AF113,"SETTLE_DT",U113,AC113),0),"per=y")+(ROUND(MOD(_xll.BDP(B113,"YRS_TO_LONGEST_AVG_LIFE","YLD_YTM_BID",AF113,"SETTLE_DT",U113,AC113),1)*360,0))))</f>
        <v/>
      </c>
      <c r="AI113" s="150" t="str">
        <f t="array" ref="AI113">IF(B113="","",AF113-_xll.BInterpol(_xll.BDP(_xll.BDS("YCGT0372 Index","curve members","CURVE_DATE", $U113,"endcol=1","array=true"),"maturity")*1,_xll.BDH(_xll.BDS("YCGT0372 Index","curve members","CURVE_DATE", $U113,"endcol=1","array=true"),"yld cnv mid",$U113,$U113,"days=all"),AH113,"CUBIC","Extrapolate=LINEAR","SKIP=TRUE","SORT=TRUE","MultiX=Average"))</f>
        <v/>
      </c>
      <c r="AJ113" s="189" t="str">
        <f t="shared" si="31"/>
        <v/>
      </c>
      <c r="AK113" s="257" t="str">
        <f>IF(B113="","",_xll.BDP($B113,AK$9,"fill=b"))</f>
        <v/>
      </c>
      <c r="AL113" s="257" t="str">
        <f>IF(B113="","",_xll.BDP($B113,AL$9,"fill=b"))</f>
        <v/>
      </c>
      <c r="AM113" s="256" t="str">
        <f>IF(B113="","",_xll.BDP($B113,AM$9,"fill=b"))</f>
        <v/>
      </c>
      <c r="AN113" s="150" t="str">
        <f>IF(B113="","",_xll.BDP($B113,AN$9,"fill=b"))</f>
        <v/>
      </c>
      <c r="AO113" s="150" t="str">
        <f>IF(B113="","",IF(LEFT(_xll.BDP($B113,AO$9,"fill=b"),1)="#","-",_xll.BDP($B113,AO$9,"fill=b")))</f>
        <v/>
      </c>
      <c r="AP113" s="150" t="str">
        <f>IF(B113="","",_xll.BDP($B113,AP$9,"fill=b"))</f>
        <v/>
      </c>
      <c r="AQ113" s="150" t="str">
        <f>IF(B113="","",_xll.BDP($B113,AQ$9,"fill=b"))</f>
        <v/>
      </c>
      <c r="AR113" s="150" t="str">
        <f>IF(B113="","",_xll.BDP($B113,AR$9,"fill=b"))</f>
        <v/>
      </c>
      <c r="AS113" s="150" t="str">
        <f>IF(B113="","",_xll.BDP($B113,AS$9,"fill=b"))</f>
        <v/>
      </c>
      <c r="AT113" s="150" t="str">
        <f>IF(B113="","",_xll.BDP($B113,AT$9,"fill=b"))</f>
        <v/>
      </c>
      <c r="AU113" s="258" t="str">
        <f>IF(B113="","",_xll.BDP($B113,AU$9,"fill=b"))</f>
        <v/>
      </c>
    </row>
    <row r="114" spans="2:47" ht="15" x14ac:dyDescent="0.25">
      <c r="B114" s="232"/>
      <c r="C114" s="150" t="str">
        <f>IF(B114="","",_xll.BDP($B114,C$9,"fill=b"))</f>
        <v/>
      </c>
      <c r="D114" s="150" t="str">
        <f>IF(B114="","",_xll.BDP($B114,D$9,"fill=b"))</f>
        <v/>
      </c>
      <c r="E114" s="150" t="str">
        <f>IF(B114="","",_xll.BDP($B114,E$9,"fill=b"))</f>
        <v/>
      </c>
      <c r="F114" s="150" t="str">
        <f>IF(B114="","",IF(LEFT(_xll.BDP($B114,F$9,"fill=b"),1)="#","-",_xll.BDP($B114,F$9,"fill=b")))</f>
        <v/>
      </c>
      <c r="G114" s="150" t="str">
        <f>IF(B114="","",_xll.BDP($B114,G$9,"fill=b"))</f>
        <v/>
      </c>
      <c r="H114" s="150" t="str">
        <f>IF(B114="","",_xll.BDP($B114,H$9,"fill=b"))</f>
        <v/>
      </c>
      <c r="I114" s="150" t="str" cm="1">
        <f t="array" ref="I114">IF(LEFT(_xlfn.SINGLE(_xll.BDP(B114,"REFERENCE_INDEX")),1)="#",IF(LEFT(_xlfn.SINGLE(_xll.BDP(B114, "RESET_IDX"))&amp;" Index",1)="#","",_xlfn.SINGLE(_xll.BDP(B114, "RESET_IDX"))&amp;" Index"),_xll.BDP(B114,"REFERENCE_INDEX"))</f>
        <v/>
      </c>
      <c r="J114" s="150" t="str">
        <f>IF(I114="BZDIOVRA Index",IF(_xll.BDP(B114,"FLT_SPREAD")/100=0,_xll.BDP(B114,"FLT_BENCH_MULTIPLIER"),_xll.BDP(B114,"FLT_SPREAD")/100),"")</f>
        <v/>
      </c>
      <c r="K114" s="150" t="str">
        <f>IF(B114="","",IF(LEFT(_xll.BDP($B114,K$9,"fill=b"),1)="#","-",_xll.BDP($B114,K$9,"fill=b")))</f>
        <v/>
      </c>
      <c r="L114" s="233"/>
      <c r="M114" s="234" t="str">
        <f t="shared" si="25"/>
        <v/>
      </c>
      <c r="N114" s="252" t="str">
        <f>IF(B114="","",IF(R114="",IF(OR(AD114="SINKABLE",AD114="CALL/SINK"),_xll.BDP(B114,$N$9,$M$9,M114,"PRICING SOURCE",$C$6,"FILL=B"),_xll.BDP(B114,$N$9,$M$9,M114,"PRICING SOURCE",$C$6,"FILL=B")),IF(OR(AD114="SINKABLE",AD114="CALL/SINK"),_xll.BDP(B114,$N$9,$Q$10,S114,$M$9,M114,"PRICING SOURCE",$C$6,"FILL=B"),_xll.BDP(B114,$N$9,$Q$9,S114,$M$9,M114,"PRICING SOURCE",$C$6,"FILL=B"))))</f>
        <v/>
      </c>
      <c r="O114" s="235"/>
      <c r="P114" s="236" t="str">
        <f t="shared" si="32"/>
        <v/>
      </c>
      <c r="Q114" s="166" t="str" cm="1">
        <f t="array" ref="Q114">IF(ISERROR((_xlfn.SINGLE(IF(OR(AD114="SINKABLE",AD114="CALL/SINK"),_xll.BDP($B114,$Q$10,"fill=b","PRICING_SOURCE",$C$6,$AC114,$N$9,$P114,$M$9,$M114),_xll.BDP($B114,Q$9,"fill=b","PRICING_SOURCE",$C$6,$AC114,$N$9,$P114,$M$9,$M114))))*1),"",IF(OR(AD114="SINKABLE",AD114="CALL/SINK"),_xll.BDP($B114,$Q$10,"fill=b","PRICING_SOURCE",$C$6,$AC114,$N$9,$P114,$M$9,$M114),_xll.BDP($B114,Q$9,"fill=b","PRICING_SOURCE",$C$6,$AC114,$N$9,$P114,$M$9,$M114)))</f>
        <v/>
      </c>
      <c r="R114" s="237"/>
      <c r="S114" s="238" t="str">
        <f t="shared" si="33"/>
        <v/>
      </c>
      <c r="T114" s="239" t="str" cm="1">
        <f t="array" ref="T114">IF(ISERROR((_xlfn.SINGLE(IF(OR(AD114="SINKABLE",AD114="CALL/SINK"),_xll.BDP($B114,$Q$10,"fill=b","PRICING_SOURCE",$C$6,$AC114,$M$9,$U114,"px ask",$AE114),_xll.BDP($B114,Q$9,"fill=b","PRICING_SOURCE",$C$6,$AC114,$M$9,$U114,"px ask",$AE114))))*1),"",IF(OR(AD114="SINKABLE",AD114="CALL/SINK"),_xll.BDP($B114,$Q$10,"fill=b","PRICING_SOURCE",$C$6,$AC114,$M$9,$U114,"px ask",$AE114),_xll.BDP($B114,Q$9,"fill=b","PRICING_SOURCE",$C$6,$AC114,$M$9,$U114,"px ask",$AE114)))</f>
        <v/>
      </c>
      <c r="U114" s="240" t="str">
        <f t="shared" si="29"/>
        <v/>
      </c>
      <c r="V114" s="254" t="str">
        <f>IF(B114="","",IF(I114="BZDIOVRA Index",IF(OR(AD114="SINKABLE",AD114="CALL/SINK"),_xll.BDP($B114,"PX_ASK",$Q$10,J114,$M$9,M114),_xll.BDP($B114,"PX_"&amp;$H$7,$Q$9,J114,$M$9,M114)),_xll.BDP($B114,"PX_"&amp;$H$7,$Q$9,_xll.BDP(B114,"CPN"),$M$9,M114)))</f>
        <v/>
      </c>
      <c r="W114" s="254" t="str">
        <f t="shared" si="30"/>
        <v/>
      </c>
      <c r="X114" s="166" t="str">
        <f>IF(B114="","",IF(OR(AD114="SINKABLE",AD114="CALL/SINK"),_xll.BDP($B114,X$9,"fill=b","PRICING_SOURCE",$C$6,$AC114,$M$9,$M114,$N$9,$P114,$Q$10,$S114),_xll.BDP($B114,X$9,"fill=b","PRICING_SOURCE",$C$6,$AC114,$M$9,$M114,$N$9,$P114,$Q$9,$S114)))</f>
        <v/>
      </c>
      <c r="Y114" s="166" t="str">
        <f>IF(B114="","",IF(OR(AD114="SINKABLE",AD114="CALL/SINK"),_xll.BDP($B114,Y$9,"fill=b","PRICING_SOURCE",$C$6,$AC114,$M$9,$M114,$N$9,$P114,$Q$10,$S114),_xll.BDP($B114,Y$9,"fill=b","PRICING_SOURCE",$C$6,$AC114,$M$9,$M114,$N$9,$P114,$Q$9,$S114)))</f>
        <v/>
      </c>
      <c r="Z114" s="255" t="str">
        <f>IF(B114="","",IF(OR(AD114="SINKABLE",AD114="CALL/SINK"),_xll.BDP($B114,Z$9,"fill=b","PRICING_SOURCE",$C$6,$AC114,$M$9,$M114,$N$9,$P114,$Q$10,$S114),_xll.BDP($B114,Z$9,"fill=b","PRICING_SOURCE",$C$6,$AC114,$M$9,$M114,$N$9,$P114,$Q$9,$S114)))</f>
        <v/>
      </c>
      <c r="AA114" s="166" t="str">
        <f>IF(B114="","",IF(OR(AD114="SINKABLE",AD114="CALL/SINK"),_xll.BDP($B114,AA$9,"fill=b","PRICING_SOURCE",$C$6,$AC114,$M$9,$M114,$N$9,$P114,$Q$10,$S114),_xll.BDP($B114,AA$9,"fill=b","PRICING_SOURCE",$C$6,$AC114,$M$9,$M114,$N$9,$P114,$Q$9,$S114)))</f>
        <v/>
      </c>
      <c r="AB114" s="150" t="str">
        <f>IF(B114="","",IF(LEFT(_xll.BDP($B114,AB$9,"fill=b"),1)="#","-",_xll.BDP($B114,AB$9,"fill=b")))</f>
        <v/>
      </c>
      <c r="AC114" s="150" t="str">
        <f t="shared" si="34"/>
        <v>YLD FLAG=2</v>
      </c>
      <c r="AD114" s="150" t="str">
        <f>IF(B114="","",_xll.BDP($B114,AD$9,"fill=b"))</f>
        <v/>
      </c>
      <c r="AE114" s="256" t="str">
        <f>IF(B114="","",IF(ISERROR(_xll.BDH(B114,"PX LAST",AN114,AN114,"DAYS=ALL","PRICING SOURCE",$C$6)*1),_xll.BDP(B114,"PAR AMT"),_xll.BDH(B114,"PX LAST",AN114,AN114,"DAYS=ALL","PRICING SOURCE",$C$6)))</f>
        <v/>
      </c>
      <c r="AF114" s="150" t="str">
        <f>IF(B114="","",_xll.BDP($B114,AF$9,"fill=b"))</f>
        <v/>
      </c>
      <c r="AG114" s="150"/>
      <c r="AH114" s="190" t="str">
        <f>IF(B114="","",IF($AD114="AT MATURITY",$AB114*1,_xll.BADDPERIODS(_xll.BDP($B114,"issue dt"),"numberofperiods",TRUNC(_xll.BDP($B114,"YRS_TO_LONGEST_AVG_LIFE","YLD_YTM_BID",AF114,"SETTLE_DT",U114,AC114),0),"per=y")+(ROUND(MOD(_xll.BDP(B114,"YRS_TO_LONGEST_AVG_LIFE","YLD_YTM_BID",AF114,"SETTLE_DT",U114,AC114),1)*360,0))))</f>
        <v/>
      </c>
      <c r="AI114" s="150" t="str">
        <f t="array" ref="AI114">IF(B114="","",AF114-_xll.BInterpol(_xll.BDP(_xll.BDS("YCGT0372 Index","curve members","CURVE_DATE", $U114,"endcol=1","array=true"),"maturity")*1,_xll.BDH(_xll.BDS("YCGT0372 Index","curve members","CURVE_DATE", $U114,"endcol=1","array=true"),"yld cnv mid",$U114,$U114,"days=all"),AH114,"CUBIC","Extrapolate=LINEAR","SKIP=TRUE","SORT=TRUE","MultiX=Average"))</f>
        <v/>
      </c>
      <c r="AJ114" s="189" t="str">
        <f t="shared" si="31"/>
        <v/>
      </c>
      <c r="AK114" s="257" t="str">
        <f>IF(B114="","",_xll.BDP($B114,AK$9,"fill=b"))</f>
        <v/>
      </c>
      <c r="AL114" s="257" t="str">
        <f>IF(B114="","",_xll.BDP($B114,AL$9,"fill=b"))</f>
        <v/>
      </c>
      <c r="AM114" s="256" t="str">
        <f>IF(B114="","",_xll.BDP($B114,AM$9,"fill=b"))</f>
        <v/>
      </c>
      <c r="AN114" s="150" t="str">
        <f>IF(B114="","",_xll.BDP($B114,AN$9,"fill=b"))</f>
        <v/>
      </c>
      <c r="AO114" s="150" t="str">
        <f>IF(B114="","",IF(LEFT(_xll.BDP($B114,AO$9,"fill=b"),1)="#","-",_xll.BDP($B114,AO$9,"fill=b")))</f>
        <v/>
      </c>
      <c r="AP114" s="150" t="str">
        <f>IF(B114="","",_xll.BDP($B114,AP$9,"fill=b"))</f>
        <v/>
      </c>
      <c r="AQ114" s="150" t="str">
        <f>IF(B114="","",_xll.BDP($B114,AQ$9,"fill=b"))</f>
        <v/>
      </c>
      <c r="AR114" s="150" t="str">
        <f>IF(B114="","",_xll.BDP($B114,AR$9,"fill=b"))</f>
        <v/>
      </c>
      <c r="AS114" s="150" t="str">
        <f>IF(B114="","",_xll.BDP($B114,AS$9,"fill=b"))</f>
        <v/>
      </c>
      <c r="AT114" s="150" t="str">
        <f>IF(B114="","",_xll.BDP($B114,AT$9,"fill=b"))</f>
        <v/>
      </c>
      <c r="AU114" s="258" t="str">
        <f>IF(B114="","",_xll.BDP($B114,AU$9,"fill=b"))</f>
        <v/>
      </c>
    </row>
    <row r="115" spans="2:47" ht="15" x14ac:dyDescent="0.25">
      <c r="B115" s="232"/>
      <c r="C115" s="150" t="str">
        <f>IF(B115="","",_xll.BDP($B115,C$9,"fill=b"))</f>
        <v/>
      </c>
      <c r="D115" s="150" t="str">
        <f>IF(B115="","",_xll.BDP($B115,D$9,"fill=b"))</f>
        <v/>
      </c>
      <c r="E115" s="150" t="str">
        <f>IF(B115="","",_xll.BDP($B115,E$9,"fill=b"))</f>
        <v/>
      </c>
      <c r="F115" s="150" t="str">
        <f>IF(B115="","",IF(LEFT(_xll.BDP($B115,F$9,"fill=b"),1)="#","-",_xll.BDP($B115,F$9,"fill=b")))</f>
        <v/>
      </c>
      <c r="G115" s="150" t="str">
        <f>IF(B115="","",_xll.BDP($B115,G$9,"fill=b"))</f>
        <v/>
      </c>
      <c r="H115" s="150" t="str">
        <f>IF(B115="","",_xll.BDP($B115,H$9,"fill=b"))</f>
        <v/>
      </c>
      <c r="I115" s="150" t="str" cm="1">
        <f t="array" ref="I115">IF(LEFT(_xlfn.SINGLE(_xll.BDP(B115,"REFERENCE_INDEX")),1)="#",IF(LEFT(_xlfn.SINGLE(_xll.BDP(B115, "RESET_IDX"))&amp;" Index",1)="#","",_xlfn.SINGLE(_xll.BDP(B115, "RESET_IDX"))&amp;" Index"),_xll.BDP(B115,"REFERENCE_INDEX"))</f>
        <v/>
      </c>
      <c r="J115" s="150" t="str">
        <f>IF(I115="BZDIOVRA Index",IF(_xll.BDP(B115,"FLT_SPREAD")/100=0,_xll.BDP(B115,"FLT_BENCH_MULTIPLIER"),_xll.BDP(B115,"FLT_SPREAD")/100),"")</f>
        <v/>
      </c>
      <c r="K115" s="150" t="str">
        <f>IF(B115="","",IF(LEFT(_xll.BDP($B115,K$9,"fill=b"),1)="#","-",_xll.BDP($B115,K$9,"fill=b")))</f>
        <v/>
      </c>
      <c r="L115" s="233"/>
      <c r="M115" s="234" t="str">
        <f t="shared" si="25"/>
        <v/>
      </c>
      <c r="N115" s="252" t="str">
        <f>IF(B115="","",IF(R115="",IF(OR(AD115="SINKABLE",AD115="CALL/SINK"),_xll.BDP(B115,$N$9,$M$9,M115,"PRICING SOURCE",$C$6,"FILL=B"),_xll.BDP(B115,$N$9,$M$9,M115,"PRICING SOURCE",$C$6,"FILL=B")),IF(OR(AD115="SINKABLE",AD115="CALL/SINK"),_xll.BDP(B115,$N$9,$Q$10,S115,$M$9,M115,"PRICING SOURCE",$C$6,"FILL=B"),_xll.BDP(B115,$N$9,$Q$9,S115,$M$9,M115,"PRICING SOURCE",$C$6,"FILL=B"))))</f>
        <v/>
      </c>
      <c r="O115" s="235"/>
      <c r="P115" s="236" t="str">
        <f t="shared" si="32"/>
        <v/>
      </c>
      <c r="Q115" s="166" t="str" cm="1">
        <f t="array" ref="Q115">IF(ISERROR((_xlfn.SINGLE(IF(OR(AD115="SINKABLE",AD115="CALL/SINK"),_xll.BDP($B115,$Q$10,"fill=b","PRICING_SOURCE",$C$6,$AC115,$N$9,$P115,$M$9,$M115),_xll.BDP($B115,Q$9,"fill=b","PRICING_SOURCE",$C$6,$AC115,$N$9,$P115,$M$9,$M115))))*1),"",IF(OR(AD115="SINKABLE",AD115="CALL/SINK"),_xll.BDP($B115,$Q$10,"fill=b","PRICING_SOURCE",$C$6,$AC115,$N$9,$P115,$M$9,$M115),_xll.BDP($B115,Q$9,"fill=b","PRICING_SOURCE",$C$6,$AC115,$N$9,$P115,$M$9,$M115)))</f>
        <v/>
      </c>
      <c r="R115" s="237"/>
      <c r="S115" s="238" t="str">
        <f t="shared" si="33"/>
        <v/>
      </c>
      <c r="T115" s="239" t="str" cm="1">
        <f t="array" ref="T115">IF(ISERROR((_xlfn.SINGLE(IF(OR(AD115="SINKABLE",AD115="CALL/SINK"),_xll.BDP($B115,$Q$10,"fill=b","PRICING_SOURCE",$C$6,$AC115,$M$9,$U115,"px ask",$AE115),_xll.BDP($B115,Q$9,"fill=b","PRICING_SOURCE",$C$6,$AC115,$M$9,$U115,"px ask",$AE115))))*1),"",IF(OR(AD115="SINKABLE",AD115="CALL/SINK"),_xll.BDP($B115,$Q$10,"fill=b","PRICING_SOURCE",$C$6,$AC115,$M$9,$U115,"px ask",$AE115),_xll.BDP($B115,Q$9,"fill=b","PRICING_SOURCE",$C$6,$AC115,$M$9,$U115,"px ask",$AE115)))</f>
        <v/>
      </c>
      <c r="U115" s="240" t="str">
        <f t="shared" si="29"/>
        <v/>
      </c>
      <c r="V115" s="254" t="str">
        <f>IF(B115="","",IF(I115="BZDIOVRA Index",IF(OR(AD115="SINKABLE",AD115="CALL/SINK"),_xll.BDP($B115,"PX_ASK",$Q$10,J115,$M$9,M115),_xll.BDP($B115,"PX_"&amp;$H$7,$Q$9,J115,$M$9,M115)),_xll.BDP($B115,"PX_"&amp;$H$7,$Q$9,_xll.BDP(B115,"CPN"),$M$9,M115)))</f>
        <v/>
      </c>
      <c r="W115" s="254" t="str">
        <f t="shared" si="30"/>
        <v/>
      </c>
      <c r="X115" s="166" t="str">
        <f>IF(B115="","",IF(OR(AD115="SINKABLE",AD115="CALL/SINK"),_xll.BDP($B115,X$9,"fill=b","PRICING_SOURCE",$C$6,$AC115,$M$9,$M115,$N$9,$P115,$Q$10,$S115),_xll.BDP($B115,X$9,"fill=b","PRICING_SOURCE",$C$6,$AC115,$M$9,$M115,$N$9,$P115,$Q$9,$S115)))</f>
        <v/>
      </c>
      <c r="Y115" s="166" t="str">
        <f>IF(B115="","",IF(OR(AD115="SINKABLE",AD115="CALL/SINK"),_xll.BDP($B115,Y$9,"fill=b","PRICING_SOURCE",$C$6,$AC115,$M$9,$M115,$N$9,$P115,$Q$10,$S115),_xll.BDP($B115,Y$9,"fill=b","PRICING_SOURCE",$C$6,$AC115,$M$9,$M115,$N$9,$P115,$Q$9,$S115)))</f>
        <v/>
      </c>
      <c r="Z115" s="255" t="str">
        <f>IF(B115="","",IF(OR(AD115="SINKABLE",AD115="CALL/SINK"),_xll.BDP($B115,Z$9,"fill=b","PRICING_SOURCE",$C$6,$AC115,$M$9,$M115,$N$9,$P115,$Q$10,$S115),_xll.BDP($B115,Z$9,"fill=b","PRICING_SOURCE",$C$6,$AC115,$M$9,$M115,$N$9,$P115,$Q$9,$S115)))</f>
        <v/>
      </c>
      <c r="AA115" s="166" t="str">
        <f>IF(B115="","",IF(OR(AD115="SINKABLE",AD115="CALL/SINK"),_xll.BDP($B115,AA$9,"fill=b","PRICING_SOURCE",$C$6,$AC115,$M$9,$M115,$N$9,$P115,$Q$10,$S115),_xll.BDP($B115,AA$9,"fill=b","PRICING_SOURCE",$C$6,$AC115,$M$9,$M115,$N$9,$P115,$Q$9,$S115)))</f>
        <v/>
      </c>
      <c r="AB115" s="150" t="str">
        <f>IF(B115="","",IF(LEFT(_xll.BDP($B115,AB$9,"fill=b"),1)="#","-",_xll.BDP($B115,AB$9,"fill=b")))</f>
        <v/>
      </c>
      <c r="AC115" s="150" t="str">
        <f t="shared" si="34"/>
        <v>YLD FLAG=2</v>
      </c>
      <c r="AD115" s="150" t="str">
        <f>IF(B115="","",_xll.BDP($B115,AD$9,"fill=b"))</f>
        <v/>
      </c>
      <c r="AE115" s="256" t="str">
        <f>IF(B115="","",IF(ISERROR(_xll.BDH(B115,"PX LAST",AN115,AN115,"DAYS=ALL","PRICING SOURCE",$C$6)*1),_xll.BDP(B115,"PAR AMT"),_xll.BDH(B115,"PX LAST",AN115,AN115,"DAYS=ALL","PRICING SOURCE",$C$6)))</f>
        <v/>
      </c>
      <c r="AF115" s="150" t="str">
        <f>IF(B115="","",_xll.BDP($B115,AF$9,"fill=b"))</f>
        <v/>
      </c>
      <c r="AG115" s="150"/>
      <c r="AH115" s="190" t="str">
        <f>IF(B115="","",IF($AD115="AT MATURITY",$AB115*1,_xll.BADDPERIODS(_xll.BDP($B115,"issue dt"),"numberofperiods",TRUNC(_xll.BDP($B115,"YRS_TO_LONGEST_AVG_LIFE","YLD_YTM_BID",AF115,"SETTLE_DT",U115,AC115),0),"per=y")+(ROUND(MOD(_xll.BDP(B115,"YRS_TO_LONGEST_AVG_LIFE","YLD_YTM_BID",AF115,"SETTLE_DT",U115,AC115),1)*360,0))))</f>
        <v/>
      </c>
      <c r="AI115" s="150" t="str">
        <f t="array" ref="AI115">IF(B115="","",AF115-_xll.BInterpol(_xll.BDP(_xll.BDS("YCGT0372 Index","curve members","CURVE_DATE", $U115,"endcol=1","array=true"),"maturity")*1,_xll.BDH(_xll.BDS("YCGT0372 Index","curve members","CURVE_DATE", $U115,"endcol=1","array=true"),"yld cnv mid",$U115,$U115,"days=all"),AH115,"CUBIC","Extrapolate=LINEAR","SKIP=TRUE","SORT=TRUE","MultiX=Average"))</f>
        <v/>
      </c>
      <c r="AJ115" s="189" t="str">
        <f t="shared" si="31"/>
        <v/>
      </c>
      <c r="AK115" s="257" t="str">
        <f>IF(B115="","",_xll.BDP($B115,AK$9,"fill=b"))</f>
        <v/>
      </c>
      <c r="AL115" s="257" t="str">
        <f>IF(B115="","",_xll.BDP($B115,AL$9,"fill=b"))</f>
        <v/>
      </c>
      <c r="AM115" s="256" t="str">
        <f>IF(B115="","",_xll.BDP($B115,AM$9,"fill=b"))</f>
        <v/>
      </c>
      <c r="AN115" s="150" t="str">
        <f>IF(B115="","",_xll.BDP($B115,AN$9,"fill=b"))</f>
        <v/>
      </c>
      <c r="AO115" s="150" t="str">
        <f>IF(B115="","",IF(LEFT(_xll.BDP($B115,AO$9,"fill=b"),1)="#","-",_xll.BDP($B115,AO$9,"fill=b")))</f>
        <v/>
      </c>
      <c r="AP115" s="150" t="str">
        <f>IF(B115="","",_xll.BDP($B115,AP$9,"fill=b"))</f>
        <v/>
      </c>
      <c r="AQ115" s="150" t="str">
        <f>IF(B115="","",_xll.BDP($B115,AQ$9,"fill=b"))</f>
        <v/>
      </c>
      <c r="AR115" s="150" t="str">
        <f>IF(B115="","",_xll.BDP($B115,AR$9,"fill=b"))</f>
        <v/>
      </c>
      <c r="AS115" s="150" t="str">
        <f>IF(B115="","",_xll.BDP($B115,AS$9,"fill=b"))</f>
        <v/>
      </c>
      <c r="AT115" s="150" t="str">
        <f>IF(B115="","",_xll.BDP($B115,AT$9,"fill=b"))</f>
        <v/>
      </c>
      <c r="AU115" s="258" t="str">
        <f>IF(B115="","",_xll.BDP($B115,AU$9,"fill=b"))</f>
        <v/>
      </c>
    </row>
    <row r="116" spans="2:47" ht="15" x14ac:dyDescent="0.25">
      <c r="B116" s="232"/>
      <c r="C116" s="150" t="str">
        <f>IF(B116="","",_xll.BDP($B116,C$9,"fill=b"))</f>
        <v/>
      </c>
      <c r="D116" s="150" t="str">
        <f>IF(B116="","",_xll.BDP($B116,D$9,"fill=b"))</f>
        <v/>
      </c>
      <c r="E116" s="150" t="str">
        <f>IF(B116="","",_xll.BDP($B116,E$9,"fill=b"))</f>
        <v/>
      </c>
      <c r="F116" s="150" t="str">
        <f>IF(B116="","",IF(LEFT(_xll.BDP($B116,F$9,"fill=b"),1)="#","-",_xll.BDP($B116,F$9,"fill=b")))</f>
        <v/>
      </c>
      <c r="G116" s="150" t="str">
        <f>IF(B116="","",_xll.BDP($B116,G$9,"fill=b"))</f>
        <v/>
      </c>
      <c r="H116" s="150" t="str">
        <f>IF(B116="","",_xll.BDP($B116,H$9,"fill=b"))</f>
        <v/>
      </c>
      <c r="I116" s="150" t="str" cm="1">
        <f t="array" ref="I116">IF(LEFT(_xlfn.SINGLE(_xll.BDP(B116,"REFERENCE_INDEX")),1)="#",IF(LEFT(_xlfn.SINGLE(_xll.BDP(B116, "RESET_IDX"))&amp;" Index",1)="#","",_xlfn.SINGLE(_xll.BDP(B116, "RESET_IDX"))&amp;" Index"),_xll.BDP(B116,"REFERENCE_INDEX"))</f>
        <v/>
      </c>
      <c r="J116" s="150" t="str">
        <f>IF(I116="BZDIOVRA Index",IF(_xll.BDP(B116,"FLT_SPREAD")/100=0,_xll.BDP(B116,"FLT_BENCH_MULTIPLIER"),_xll.BDP(B116,"FLT_SPREAD")/100),"")</f>
        <v/>
      </c>
      <c r="K116" s="150" t="str">
        <f>IF(B116="","",IF(LEFT(_xll.BDP($B116,K$9,"fill=b"),1)="#","-",_xll.BDP($B116,K$9,"fill=b")))</f>
        <v/>
      </c>
      <c r="L116" s="233"/>
      <c r="M116" s="234" t="str">
        <f t="shared" si="25"/>
        <v/>
      </c>
      <c r="N116" s="252" t="str">
        <f>IF(B116="","",IF(R116="",IF(OR(AD116="SINKABLE",AD116="CALL/SINK"),_xll.BDP(B116,$N$9,$M$9,M116,"PRICING SOURCE",$C$6,"FILL=B"),_xll.BDP(B116,$N$9,$M$9,M116,"PRICING SOURCE",$C$6,"FILL=B")),IF(OR(AD116="SINKABLE",AD116="CALL/SINK"),_xll.BDP(B116,$N$9,$Q$10,S116,$M$9,M116,"PRICING SOURCE",$C$6,"FILL=B"),_xll.BDP(B116,$N$9,$Q$9,S116,$M$9,M116,"PRICING SOURCE",$C$6,"FILL=B"))))</f>
        <v/>
      </c>
      <c r="O116" s="235"/>
      <c r="P116" s="236" t="str">
        <f t="shared" si="32"/>
        <v/>
      </c>
      <c r="Q116" s="166" t="str" cm="1">
        <f t="array" ref="Q116">IF(ISERROR((_xlfn.SINGLE(IF(OR(AD116="SINKABLE",AD116="CALL/SINK"),_xll.BDP($B116,$Q$10,"fill=b","PRICING_SOURCE",$C$6,$AC116,$N$9,$P116,$M$9,$M116),_xll.BDP($B116,Q$9,"fill=b","PRICING_SOURCE",$C$6,$AC116,$N$9,$P116,$M$9,$M116))))*1),"",IF(OR(AD116="SINKABLE",AD116="CALL/SINK"),_xll.BDP($B116,$Q$10,"fill=b","PRICING_SOURCE",$C$6,$AC116,$N$9,$P116,$M$9,$M116),_xll.BDP($B116,Q$9,"fill=b","PRICING_SOURCE",$C$6,$AC116,$N$9,$P116,$M$9,$M116)))</f>
        <v/>
      </c>
      <c r="R116" s="237"/>
      <c r="S116" s="238" t="str">
        <f t="shared" si="33"/>
        <v/>
      </c>
      <c r="T116" s="239" t="str" cm="1">
        <f t="array" ref="T116">IF(ISERROR((_xlfn.SINGLE(IF(OR(AD116="SINKABLE",AD116="CALL/SINK"),_xll.BDP($B116,$Q$10,"fill=b","PRICING_SOURCE",$C$6,$AC116,$M$9,$U116,"px ask",$AE116),_xll.BDP($B116,Q$9,"fill=b","PRICING_SOURCE",$C$6,$AC116,$M$9,$U116,"px ask",$AE116))))*1),"",IF(OR(AD116="SINKABLE",AD116="CALL/SINK"),_xll.BDP($B116,$Q$10,"fill=b","PRICING_SOURCE",$C$6,$AC116,$M$9,$U116,"px ask",$AE116),_xll.BDP($B116,Q$9,"fill=b","PRICING_SOURCE",$C$6,$AC116,$M$9,$U116,"px ask",$AE116)))</f>
        <v/>
      </c>
      <c r="U116" s="240" t="str">
        <f t="shared" si="29"/>
        <v/>
      </c>
      <c r="V116" s="254" t="str">
        <f>IF(B116="","",IF(I116="BZDIOVRA Index",IF(OR(AD116="SINKABLE",AD116="CALL/SINK"),_xll.BDP($B116,"PX_ASK",$Q$10,J116,$M$9,M116),_xll.BDP($B116,"PX_"&amp;$H$7,$Q$9,J116,$M$9,M116)),_xll.BDP($B116,"PX_"&amp;$H$7,$Q$9,_xll.BDP(B116,"CPN"),$M$9,M116)))</f>
        <v/>
      </c>
      <c r="W116" s="254" t="str">
        <f t="shared" si="30"/>
        <v/>
      </c>
      <c r="X116" s="166" t="str">
        <f>IF(B116="","",IF(OR(AD116="SINKABLE",AD116="CALL/SINK"),_xll.BDP($B116,X$9,"fill=b","PRICING_SOURCE",$C$6,$AC116,$M$9,$M116,$N$9,$P116,$Q$10,$S116),_xll.BDP($B116,X$9,"fill=b","PRICING_SOURCE",$C$6,$AC116,$M$9,$M116,$N$9,$P116,$Q$9,$S116)))</f>
        <v/>
      </c>
      <c r="Y116" s="166" t="str">
        <f>IF(B116="","",IF(OR(AD116="SINKABLE",AD116="CALL/SINK"),_xll.BDP($B116,Y$9,"fill=b","PRICING_SOURCE",$C$6,$AC116,$M$9,$M116,$N$9,$P116,$Q$10,$S116),_xll.BDP($B116,Y$9,"fill=b","PRICING_SOURCE",$C$6,$AC116,$M$9,$M116,$N$9,$P116,$Q$9,$S116)))</f>
        <v/>
      </c>
      <c r="Z116" s="255" t="str">
        <f>IF(B116="","",IF(OR(AD116="SINKABLE",AD116="CALL/SINK"),_xll.BDP($B116,Z$9,"fill=b","PRICING_SOURCE",$C$6,$AC116,$M$9,$M116,$N$9,$P116,$Q$10,$S116),_xll.BDP($B116,Z$9,"fill=b","PRICING_SOURCE",$C$6,$AC116,$M$9,$M116,$N$9,$P116,$Q$9,$S116)))</f>
        <v/>
      </c>
      <c r="AA116" s="166" t="str">
        <f>IF(B116="","",IF(OR(AD116="SINKABLE",AD116="CALL/SINK"),_xll.BDP($B116,AA$9,"fill=b","PRICING_SOURCE",$C$6,$AC116,$M$9,$M116,$N$9,$P116,$Q$10,$S116),_xll.BDP($B116,AA$9,"fill=b","PRICING_SOURCE",$C$6,$AC116,$M$9,$M116,$N$9,$P116,$Q$9,$S116)))</f>
        <v/>
      </c>
      <c r="AB116" s="150" t="str">
        <f>IF(B116="","",IF(LEFT(_xll.BDP($B116,AB$9,"fill=b"),1)="#","-",_xll.BDP($B116,AB$9,"fill=b")))</f>
        <v/>
      </c>
      <c r="AC116" s="150" t="str">
        <f t="shared" si="34"/>
        <v>YLD FLAG=2</v>
      </c>
      <c r="AD116" s="150" t="str">
        <f>IF(B116="","",_xll.BDP($B116,AD$9,"fill=b"))</f>
        <v/>
      </c>
      <c r="AE116" s="256" t="str">
        <f>IF(B116="","",IF(ISERROR(_xll.BDH(B116,"PX LAST",AN116,AN116,"DAYS=ALL","PRICING SOURCE",$C$6)*1),_xll.BDP(B116,"PAR AMT"),_xll.BDH(B116,"PX LAST",AN116,AN116,"DAYS=ALL","PRICING SOURCE",$C$6)))</f>
        <v/>
      </c>
      <c r="AF116" s="150" t="str">
        <f>IF(B116="","",_xll.BDP($B116,AF$9,"fill=b"))</f>
        <v/>
      </c>
      <c r="AG116" s="150"/>
      <c r="AH116" s="190" t="str">
        <f>IF(B116="","",IF($AD116="AT MATURITY",$AB116*1,_xll.BADDPERIODS(_xll.BDP($B116,"issue dt"),"numberofperiods",TRUNC(_xll.BDP($B116,"YRS_TO_LONGEST_AVG_LIFE","YLD_YTM_BID",AF116,"SETTLE_DT",U116,AC116),0),"per=y")+(ROUND(MOD(_xll.BDP(B116,"YRS_TO_LONGEST_AVG_LIFE","YLD_YTM_BID",AF116,"SETTLE_DT",U116,AC116),1)*360,0))))</f>
        <v/>
      </c>
      <c r="AI116" s="150" t="str">
        <f t="array" ref="AI116">IF(B116="","",AF116-_xll.BInterpol(_xll.BDP(_xll.BDS("YCGT0372 Index","curve members","CURVE_DATE", $U116,"endcol=1","array=true"),"maturity")*1,_xll.BDH(_xll.BDS("YCGT0372 Index","curve members","CURVE_DATE", $U116,"endcol=1","array=true"),"yld cnv mid",$U116,$U116,"days=all"),AH116,"CUBIC","Extrapolate=LINEAR","SKIP=TRUE","SORT=TRUE","MultiX=Average"))</f>
        <v/>
      </c>
      <c r="AJ116" s="189" t="str">
        <f t="shared" si="31"/>
        <v/>
      </c>
      <c r="AK116" s="257" t="str">
        <f>IF(B116="","",_xll.BDP($B116,AK$9,"fill=b"))</f>
        <v/>
      </c>
      <c r="AL116" s="257" t="str">
        <f>IF(B116="","",_xll.BDP($B116,AL$9,"fill=b"))</f>
        <v/>
      </c>
      <c r="AM116" s="256" t="str">
        <f>IF(B116="","",_xll.BDP($B116,AM$9,"fill=b"))</f>
        <v/>
      </c>
      <c r="AN116" s="150" t="str">
        <f>IF(B116="","",_xll.BDP($B116,AN$9,"fill=b"))</f>
        <v/>
      </c>
      <c r="AO116" s="150" t="str">
        <f>IF(B116="","",IF(LEFT(_xll.BDP($B116,AO$9,"fill=b"),1)="#","-",_xll.BDP($B116,AO$9,"fill=b")))</f>
        <v/>
      </c>
      <c r="AP116" s="150" t="str">
        <f>IF(B116="","",_xll.BDP($B116,AP$9,"fill=b"))</f>
        <v/>
      </c>
      <c r="AQ116" s="150" t="str">
        <f>IF(B116="","",_xll.BDP($B116,AQ$9,"fill=b"))</f>
        <v/>
      </c>
      <c r="AR116" s="150" t="str">
        <f>IF(B116="","",_xll.BDP($B116,AR$9,"fill=b"))</f>
        <v/>
      </c>
      <c r="AS116" s="150" t="str">
        <f>IF(B116="","",_xll.BDP($B116,AS$9,"fill=b"))</f>
        <v/>
      </c>
      <c r="AT116" s="150" t="str">
        <f>IF(B116="","",_xll.BDP($B116,AT$9,"fill=b"))</f>
        <v/>
      </c>
      <c r="AU116" s="258" t="str">
        <f>IF(B116="","",_xll.BDP($B116,AU$9,"fill=b"))</f>
        <v/>
      </c>
    </row>
    <row r="117" spans="2:47" ht="15" x14ac:dyDescent="0.25">
      <c r="B117" s="232"/>
      <c r="C117" s="150" t="str">
        <f>IF(B117="","",_xll.BDP($B117,C$9,"fill=b"))</f>
        <v/>
      </c>
      <c r="D117" s="150" t="str">
        <f>IF(B117="","",_xll.BDP($B117,D$9,"fill=b"))</f>
        <v/>
      </c>
      <c r="E117" s="150" t="str">
        <f>IF(B117="","",_xll.BDP($B117,E$9,"fill=b"))</f>
        <v/>
      </c>
      <c r="F117" s="150" t="str">
        <f>IF(B117="","",IF(LEFT(_xll.BDP($B117,F$9,"fill=b"),1)="#","-",_xll.BDP($B117,F$9,"fill=b")))</f>
        <v/>
      </c>
      <c r="G117" s="150" t="str">
        <f>IF(B117="","",_xll.BDP($B117,G$9,"fill=b"))</f>
        <v/>
      </c>
      <c r="H117" s="150" t="str">
        <f>IF(B117="","",_xll.BDP($B117,H$9,"fill=b"))</f>
        <v/>
      </c>
      <c r="I117" s="150" t="str" cm="1">
        <f t="array" ref="I117">IF(LEFT(_xlfn.SINGLE(_xll.BDP(B117,"REFERENCE_INDEX")),1)="#",IF(LEFT(_xlfn.SINGLE(_xll.BDP(B117, "RESET_IDX"))&amp;" Index",1)="#","",_xlfn.SINGLE(_xll.BDP(B117, "RESET_IDX"))&amp;" Index"),_xll.BDP(B117,"REFERENCE_INDEX"))</f>
        <v/>
      </c>
      <c r="J117" s="150" t="str">
        <f>IF(I117="BZDIOVRA Index",IF(_xll.BDP(B117,"FLT_SPREAD")/100=0,_xll.BDP(B117,"FLT_BENCH_MULTIPLIER"),_xll.BDP(B117,"FLT_SPREAD")/100),"")</f>
        <v/>
      </c>
      <c r="K117" s="150" t="str">
        <f>IF(B117="","",IF(LEFT(_xll.BDP($B117,K$9,"fill=b"),1)="#","-",_xll.BDP($B117,K$9,"fill=b")))</f>
        <v/>
      </c>
      <c r="L117" s="233"/>
      <c r="M117" s="234" t="str">
        <f t="shared" si="25"/>
        <v/>
      </c>
      <c r="N117" s="252" t="str">
        <f>IF(B117="","",IF(R117="",IF(OR(AD117="SINKABLE",AD117="CALL/SINK"),_xll.BDP(B117,$N$9,$M$9,M117,"PRICING SOURCE",$C$6,"FILL=B"),_xll.BDP(B117,$N$9,$M$9,M117,"PRICING SOURCE",$C$6,"FILL=B")),IF(OR(AD117="SINKABLE",AD117="CALL/SINK"),_xll.BDP(B117,$N$9,$Q$10,S117,$M$9,M117,"PRICING SOURCE",$C$6,"FILL=B"),_xll.BDP(B117,$N$9,$Q$9,S117,$M$9,M117,"PRICING SOURCE",$C$6,"FILL=B"))))</f>
        <v/>
      </c>
      <c r="O117" s="235"/>
      <c r="P117" s="236" t="str">
        <f t="shared" si="32"/>
        <v/>
      </c>
      <c r="Q117" s="166" t="str" cm="1">
        <f t="array" ref="Q117">IF(ISERROR((_xlfn.SINGLE(IF(OR(AD117="SINKABLE",AD117="CALL/SINK"),_xll.BDP($B117,$Q$10,"fill=b","PRICING_SOURCE",$C$6,$AC117,$N$9,$P117,$M$9,$M117),_xll.BDP($B117,Q$9,"fill=b","PRICING_SOURCE",$C$6,$AC117,$N$9,$P117,$M$9,$M117))))*1),"",IF(OR(AD117="SINKABLE",AD117="CALL/SINK"),_xll.BDP($B117,$Q$10,"fill=b","PRICING_SOURCE",$C$6,$AC117,$N$9,$P117,$M$9,$M117),_xll.BDP($B117,Q$9,"fill=b","PRICING_SOURCE",$C$6,$AC117,$N$9,$P117,$M$9,$M117)))</f>
        <v/>
      </c>
      <c r="R117" s="237"/>
      <c r="S117" s="238" t="str">
        <f t="shared" si="33"/>
        <v/>
      </c>
      <c r="T117" s="239" t="str" cm="1">
        <f t="array" ref="T117">IF(ISERROR((_xlfn.SINGLE(IF(OR(AD117="SINKABLE",AD117="CALL/SINK"),_xll.BDP($B117,$Q$10,"fill=b","PRICING_SOURCE",$C$6,$AC117,$M$9,$U117,"px ask",$AE117),_xll.BDP($B117,Q$9,"fill=b","PRICING_SOURCE",$C$6,$AC117,$M$9,$U117,"px ask",$AE117))))*1),"",IF(OR(AD117="SINKABLE",AD117="CALL/SINK"),_xll.BDP($B117,$Q$10,"fill=b","PRICING_SOURCE",$C$6,$AC117,$M$9,$U117,"px ask",$AE117),_xll.BDP($B117,Q$9,"fill=b","PRICING_SOURCE",$C$6,$AC117,$M$9,$U117,"px ask",$AE117)))</f>
        <v/>
      </c>
      <c r="U117" s="240" t="str">
        <f t="shared" si="29"/>
        <v/>
      </c>
      <c r="V117" s="254" t="str">
        <f>IF(B117="","",IF(I117="BZDIOVRA Index",IF(OR(AD117="SINKABLE",AD117="CALL/SINK"),_xll.BDP($B117,"PX_ASK",$Q$10,J117,$M$9,M117),_xll.BDP($B117,"PX_"&amp;$H$7,$Q$9,J117,$M$9,M117)),_xll.BDP($B117,"PX_"&amp;$H$7,$Q$9,_xll.BDP(B117,"CPN"),$M$9,M117)))</f>
        <v/>
      </c>
      <c r="W117" s="254" t="str">
        <f t="shared" si="30"/>
        <v/>
      </c>
      <c r="X117" s="166" t="str">
        <f>IF(B117="","",IF(OR(AD117="SINKABLE",AD117="CALL/SINK"),_xll.BDP($B117,X$9,"fill=b","PRICING_SOURCE",$C$6,$AC117,$M$9,$M117,$N$9,$P117,$Q$10,$S117),_xll.BDP($B117,X$9,"fill=b","PRICING_SOURCE",$C$6,$AC117,$M$9,$M117,$N$9,$P117,$Q$9,$S117)))</f>
        <v/>
      </c>
      <c r="Y117" s="166" t="str">
        <f>IF(B117="","",IF(OR(AD117="SINKABLE",AD117="CALL/SINK"),_xll.BDP($B117,Y$9,"fill=b","PRICING_SOURCE",$C$6,$AC117,$M$9,$M117,$N$9,$P117,$Q$10,$S117),_xll.BDP($B117,Y$9,"fill=b","PRICING_SOURCE",$C$6,$AC117,$M$9,$M117,$N$9,$P117,$Q$9,$S117)))</f>
        <v/>
      </c>
      <c r="Z117" s="255" t="str">
        <f>IF(B117="","",IF(OR(AD117="SINKABLE",AD117="CALL/SINK"),_xll.BDP($B117,Z$9,"fill=b","PRICING_SOURCE",$C$6,$AC117,$M$9,$M117,$N$9,$P117,$Q$10,$S117),_xll.BDP($B117,Z$9,"fill=b","PRICING_SOURCE",$C$6,$AC117,$M$9,$M117,$N$9,$P117,$Q$9,$S117)))</f>
        <v/>
      </c>
      <c r="AA117" s="166" t="str">
        <f>IF(B117="","",IF(OR(AD117="SINKABLE",AD117="CALL/SINK"),_xll.BDP($B117,AA$9,"fill=b","PRICING_SOURCE",$C$6,$AC117,$M$9,$M117,$N$9,$P117,$Q$10,$S117),_xll.BDP($B117,AA$9,"fill=b","PRICING_SOURCE",$C$6,$AC117,$M$9,$M117,$N$9,$P117,$Q$9,$S117)))</f>
        <v/>
      </c>
      <c r="AB117" s="150" t="str">
        <f>IF(B117="","",IF(LEFT(_xll.BDP($B117,AB$9,"fill=b"),1)="#","-",_xll.BDP($B117,AB$9,"fill=b")))</f>
        <v/>
      </c>
      <c r="AC117" s="150" t="str">
        <f t="shared" si="34"/>
        <v>YLD FLAG=2</v>
      </c>
      <c r="AD117" s="150" t="str">
        <f>IF(B117="","",_xll.BDP($B117,AD$9,"fill=b"))</f>
        <v/>
      </c>
      <c r="AE117" s="256" t="str">
        <f>IF(B117="","",IF(ISERROR(_xll.BDH(B117,"PX LAST",AN117,AN117,"DAYS=ALL","PRICING SOURCE",$C$6)*1),_xll.BDP(B117,"PAR AMT"),_xll.BDH(B117,"PX LAST",AN117,AN117,"DAYS=ALL","PRICING SOURCE",$C$6)))</f>
        <v/>
      </c>
      <c r="AF117" s="150" t="str">
        <f>IF(B117="","",_xll.BDP($B117,AF$9,"fill=b"))</f>
        <v/>
      </c>
      <c r="AG117" s="150"/>
      <c r="AH117" s="190" t="str">
        <f>IF(B117="","",IF($AD117="AT MATURITY",$AB117*1,_xll.BADDPERIODS(_xll.BDP($B117,"issue dt"),"numberofperiods",TRUNC(_xll.BDP($B117,"YRS_TO_LONGEST_AVG_LIFE","YLD_YTM_BID",AF117,"SETTLE_DT",U117,AC117),0),"per=y")+(ROUND(MOD(_xll.BDP(B117,"YRS_TO_LONGEST_AVG_LIFE","YLD_YTM_BID",AF117,"SETTLE_DT",U117,AC117),1)*360,0))))</f>
        <v/>
      </c>
      <c r="AI117" s="150" t="str">
        <f t="array" ref="AI117">IF(B117="","",AF117-_xll.BInterpol(_xll.BDP(_xll.BDS("YCGT0372 Index","curve members","CURVE_DATE", $U117,"endcol=1","array=true"),"maturity")*1,_xll.BDH(_xll.BDS("YCGT0372 Index","curve members","CURVE_DATE", $U117,"endcol=1","array=true"),"yld cnv mid",$U117,$U117,"days=all"),AH117,"CUBIC","Extrapolate=LINEAR","SKIP=TRUE","SORT=TRUE","MultiX=Average"))</f>
        <v/>
      </c>
      <c r="AJ117" s="189" t="str">
        <f t="shared" si="31"/>
        <v/>
      </c>
      <c r="AK117" s="257" t="str">
        <f>IF(B117="","",_xll.BDP($B117,AK$9,"fill=b"))</f>
        <v/>
      </c>
      <c r="AL117" s="257" t="str">
        <f>IF(B117="","",_xll.BDP($B117,AL$9,"fill=b"))</f>
        <v/>
      </c>
      <c r="AM117" s="256" t="str">
        <f>IF(B117="","",_xll.BDP($B117,AM$9,"fill=b"))</f>
        <v/>
      </c>
      <c r="AN117" s="150" t="str">
        <f>IF(B117="","",_xll.BDP($B117,AN$9,"fill=b"))</f>
        <v/>
      </c>
      <c r="AO117" s="150" t="str">
        <f>IF(B117="","",IF(LEFT(_xll.BDP($B117,AO$9,"fill=b"),1)="#","-",_xll.BDP($B117,AO$9,"fill=b")))</f>
        <v/>
      </c>
      <c r="AP117" s="150" t="str">
        <f>IF(B117="","",_xll.BDP($B117,AP$9,"fill=b"))</f>
        <v/>
      </c>
      <c r="AQ117" s="150" t="str">
        <f>IF(B117="","",_xll.BDP($B117,AQ$9,"fill=b"))</f>
        <v/>
      </c>
      <c r="AR117" s="150" t="str">
        <f>IF(B117="","",_xll.BDP($B117,AR$9,"fill=b"))</f>
        <v/>
      </c>
      <c r="AS117" s="150" t="str">
        <f>IF(B117="","",_xll.BDP($B117,AS$9,"fill=b"))</f>
        <v/>
      </c>
      <c r="AT117" s="150" t="str">
        <f>IF(B117="","",_xll.BDP($B117,AT$9,"fill=b"))</f>
        <v/>
      </c>
      <c r="AU117" s="258" t="str">
        <f>IF(B117="","",_xll.BDP($B117,AU$9,"fill=b"))</f>
        <v/>
      </c>
    </row>
    <row r="118" spans="2:47" ht="15" x14ac:dyDescent="0.25">
      <c r="B118" s="232"/>
      <c r="C118" s="150" t="str">
        <f>IF(B118="","",_xll.BDP($B118,C$9,"fill=b"))</f>
        <v/>
      </c>
      <c r="D118" s="150" t="str">
        <f>IF(B118="","",_xll.BDP($B118,D$9,"fill=b"))</f>
        <v/>
      </c>
      <c r="E118" s="150" t="str">
        <f>IF(B118="","",_xll.BDP($B118,E$9,"fill=b"))</f>
        <v/>
      </c>
      <c r="F118" s="150" t="str">
        <f>IF(B118="","",IF(LEFT(_xll.BDP($B118,F$9,"fill=b"),1)="#","-",_xll.BDP($B118,F$9,"fill=b")))</f>
        <v/>
      </c>
      <c r="G118" s="150" t="str">
        <f>IF(B118="","",_xll.BDP($B118,G$9,"fill=b"))</f>
        <v/>
      </c>
      <c r="H118" s="150" t="str">
        <f>IF(B118="","",_xll.BDP($B118,H$9,"fill=b"))</f>
        <v/>
      </c>
      <c r="I118" s="150" t="str" cm="1">
        <f t="array" ref="I118">IF(LEFT(_xlfn.SINGLE(_xll.BDP(B118,"REFERENCE_INDEX")),1)="#",IF(LEFT(_xlfn.SINGLE(_xll.BDP(B118, "RESET_IDX"))&amp;" Index",1)="#","",_xlfn.SINGLE(_xll.BDP(B118, "RESET_IDX"))&amp;" Index"),_xll.BDP(B118,"REFERENCE_INDEX"))</f>
        <v/>
      </c>
      <c r="J118" s="150" t="str">
        <f>IF(I118="BZDIOVRA Index",IF(_xll.BDP(B118,"FLT_SPREAD")/100=0,_xll.BDP(B118,"FLT_BENCH_MULTIPLIER"),_xll.BDP(B118,"FLT_SPREAD")/100),"")</f>
        <v/>
      </c>
      <c r="K118" s="150" t="str">
        <f>IF(B118="","",IF(LEFT(_xll.BDP($B118,K$9,"fill=b"),1)="#","-",_xll.BDP($B118,K$9,"fill=b")))</f>
        <v/>
      </c>
      <c r="L118" s="233"/>
      <c r="M118" s="234" t="str">
        <f t="shared" si="25"/>
        <v/>
      </c>
      <c r="N118" s="252" t="str">
        <f>IF(B118="","",IF(R118="",IF(OR(AD118="SINKABLE",AD118="CALL/SINK"),_xll.BDP(B118,$N$9,$M$9,M118,"PRICING SOURCE",$C$6,"FILL=B"),_xll.BDP(B118,$N$9,$M$9,M118,"PRICING SOURCE",$C$6,"FILL=B")),IF(OR(AD118="SINKABLE",AD118="CALL/SINK"),_xll.BDP(B118,$N$9,$Q$10,S118,$M$9,M118,"PRICING SOURCE",$C$6,"FILL=B"),_xll.BDP(B118,$N$9,$Q$9,S118,$M$9,M118,"PRICING SOURCE",$C$6,"FILL=B"))))</f>
        <v/>
      </c>
      <c r="O118" s="235"/>
      <c r="P118" s="236" t="str">
        <f t="shared" si="32"/>
        <v/>
      </c>
      <c r="Q118" s="166" t="str" cm="1">
        <f t="array" ref="Q118">IF(ISERROR((_xlfn.SINGLE(IF(OR(AD118="SINKABLE",AD118="CALL/SINK"),_xll.BDP($B118,$Q$10,"fill=b","PRICING_SOURCE",$C$6,$AC118,$N$9,$P118,$M$9,$M118),_xll.BDP($B118,Q$9,"fill=b","PRICING_SOURCE",$C$6,$AC118,$N$9,$P118,$M$9,$M118))))*1),"",IF(OR(AD118="SINKABLE",AD118="CALL/SINK"),_xll.BDP($B118,$Q$10,"fill=b","PRICING_SOURCE",$C$6,$AC118,$N$9,$P118,$M$9,$M118),_xll.BDP($B118,Q$9,"fill=b","PRICING_SOURCE",$C$6,$AC118,$N$9,$P118,$M$9,$M118)))</f>
        <v/>
      </c>
      <c r="R118" s="237"/>
      <c r="S118" s="238" t="str">
        <f t="shared" si="33"/>
        <v/>
      </c>
      <c r="T118" s="239" t="str" cm="1">
        <f t="array" ref="T118">IF(ISERROR((_xlfn.SINGLE(IF(OR(AD118="SINKABLE",AD118="CALL/SINK"),_xll.BDP($B118,$Q$10,"fill=b","PRICING_SOURCE",$C$6,$AC118,$M$9,$U118,"px ask",$AE118),_xll.BDP($B118,Q$9,"fill=b","PRICING_SOURCE",$C$6,$AC118,$M$9,$U118,"px ask",$AE118))))*1),"",IF(OR(AD118="SINKABLE",AD118="CALL/SINK"),_xll.BDP($B118,$Q$10,"fill=b","PRICING_SOURCE",$C$6,$AC118,$M$9,$U118,"px ask",$AE118),_xll.BDP($B118,Q$9,"fill=b","PRICING_SOURCE",$C$6,$AC118,$M$9,$U118,"px ask",$AE118)))</f>
        <v/>
      </c>
      <c r="U118" s="240" t="str">
        <f t="shared" si="29"/>
        <v/>
      </c>
      <c r="V118" s="254" t="str">
        <f>IF(B118="","",IF(I118="BZDIOVRA Index",IF(OR(AD118="SINKABLE",AD118="CALL/SINK"),_xll.BDP($B118,"PX_ASK",$Q$10,J118,$M$9,M118),_xll.BDP($B118,"PX_"&amp;$H$7,$Q$9,J118,$M$9,M118)),_xll.BDP($B118,"PX_"&amp;$H$7,$Q$9,_xll.BDP(B118,"CPN"),$M$9,M118)))</f>
        <v/>
      </c>
      <c r="W118" s="254" t="str">
        <f t="shared" si="30"/>
        <v/>
      </c>
      <c r="X118" s="166" t="str">
        <f>IF(B118="","",IF(OR(AD118="SINKABLE",AD118="CALL/SINK"),_xll.BDP($B118,X$9,"fill=b","PRICING_SOURCE",$C$6,$AC118,$M$9,$M118,$N$9,$P118,$Q$10,$S118),_xll.BDP($B118,X$9,"fill=b","PRICING_SOURCE",$C$6,$AC118,$M$9,$M118,$N$9,$P118,$Q$9,$S118)))</f>
        <v/>
      </c>
      <c r="Y118" s="166" t="str">
        <f>IF(B118="","",IF(OR(AD118="SINKABLE",AD118="CALL/SINK"),_xll.BDP($B118,Y$9,"fill=b","PRICING_SOURCE",$C$6,$AC118,$M$9,$M118,$N$9,$P118,$Q$10,$S118),_xll.BDP($B118,Y$9,"fill=b","PRICING_SOURCE",$C$6,$AC118,$M$9,$M118,$N$9,$P118,$Q$9,$S118)))</f>
        <v/>
      </c>
      <c r="Z118" s="255" t="str">
        <f>IF(B118="","",IF(OR(AD118="SINKABLE",AD118="CALL/SINK"),_xll.BDP($B118,Z$9,"fill=b","PRICING_SOURCE",$C$6,$AC118,$M$9,$M118,$N$9,$P118,$Q$10,$S118),_xll.BDP($B118,Z$9,"fill=b","PRICING_SOURCE",$C$6,$AC118,$M$9,$M118,$N$9,$P118,$Q$9,$S118)))</f>
        <v/>
      </c>
      <c r="AA118" s="166" t="str">
        <f>IF(B118="","",IF(OR(AD118="SINKABLE",AD118="CALL/SINK"),_xll.BDP($B118,AA$9,"fill=b","PRICING_SOURCE",$C$6,$AC118,$M$9,$M118,$N$9,$P118,$Q$10,$S118),_xll.BDP($B118,AA$9,"fill=b","PRICING_SOURCE",$C$6,$AC118,$M$9,$M118,$N$9,$P118,$Q$9,$S118)))</f>
        <v/>
      </c>
      <c r="AB118" s="150" t="str">
        <f>IF(B118="","",IF(LEFT(_xll.BDP($B118,AB$9,"fill=b"),1)="#","-",_xll.BDP($B118,AB$9,"fill=b")))</f>
        <v/>
      </c>
      <c r="AC118" s="150" t="str">
        <f t="shared" si="34"/>
        <v>YLD FLAG=2</v>
      </c>
      <c r="AD118" s="150" t="str">
        <f>IF(B118="","",_xll.BDP($B118,AD$9,"fill=b"))</f>
        <v/>
      </c>
      <c r="AE118" s="256" t="str">
        <f>IF(B118="","",IF(ISERROR(_xll.BDH(B118,"PX LAST",AN118,AN118,"DAYS=ALL","PRICING SOURCE",$C$6)*1),_xll.BDP(B118,"PAR AMT"),_xll.BDH(B118,"PX LAST",AN118,AN118,"DAYS=ALL","PRICING SOURCE",$C$6)))</f>
        <v/>
      </c>
      <c r="AF118" s="150" t="str">
        <f>IF(B118="","",_xll.BDP($B118,AF$9,"fill=b"))</f>
        <v/>
      </c>
      <c r="AG118" s="150"/>
      <c r="AH118" s="190" t="str">
        <f>IF(B118="","",IF($AD118="AT MATURITY",$AB118*1,_xll.BADDPERIODS(_xll.BDP($B118,"issue dt"),"numberofperiods",TRUNC(_xll.BDP($B118,"YRS_TO_LONGEST_AVG_LIFE","YLD_YTM_BID",AF118,"SETTLE_DT",U118,AC118),0),"per=y")+(ROUND(MOD(_xll.BDP(B118,"YRS_TO_LONGEST_AVG_LIFE","YLD_YTM_BID",AF118,"SETTLE_DT",U118,AC118),1)*360,0))))</f>
        <v/>
      </c>
      <c r="AI118" s="150" t="str">
        <f t="array" ref="AI118">IF(B118="","",AF118-_xll.BInterpol(_xll.BDP(_xll.BDS("YCGT0372 Index","curve members","CURVE_DATE", $U118,"endcol=1","array=true"),"maturity")*1,_xll.BDH(_xll.BDS("YCGT0372 Index","curve members","CURVE_DATE", $U118,"endcol=1","array=true"),"yld cnv mid",$U118,$U118,"days=all"),AH118,"CUBIC","Extrapolate=LINEAR","SKIP=TRUE","SORT=TRUE","MultiX=Average"))</f>
        <v/>
      </c>
      <c r="AJ118" s="189" t="str">
        <f t="shared" si="31"/>
        <v/>
      </c>
      <c r="AK118" s="257" t="str">
        <f>IF(B118="","",_xll.BDP($B118,AK$9,"fill=b"))</f>
        <v/>
      </c>
      <c r="AL118" s="257" t="str">
        <f>IF(B118="","",_xll.BDP($B118,AL$9,"fill=b"))</f>
        <v/>
      </c>
      <c r="AM118" s="256" t="str">
        <f>IF(B118="","",_xll.BDP($B118,AM$9,"fill=b"))</f>
        <v/>
      </c>
      <c r="AN118" s="150" t="str">
        <f>IF(B118="","",_xll.BDP($B118,AN$9,"fill=b"))</f>
        <v/>
      </c>
      <c r="AO118" s="150" t="str">
        <f>IF(B118="","",IF(LEFT(_xll.BDP($B118,AO$9,"fill=b"),1)="#","-",_xll.BDP($B118,AO$9,"fill=b")))</f>
        <v/>
      </c>
      <c r="AP118" s="150" t="str">
        <f>IF(B118="","",_xll.BDP($B118,AP$9,"fill=b"))</f>
        <v/>
      </c>
      <c r="AQ118" s="150" t="str">
        <f>IF(B118="","",_xll.BDP($B118,AQ$9,"fill=b"))</f>
        <v/>
      </c>
      <c r="AR118" s="150" t="str">
        <f>IF(B118="","",_xll.BDP($B118,AR$9,"fill=b"))</f>
        <v/>
      </c>
      <c r="AS118" s="150" t="str">
        <f>IF(B118="","",_xll.BDP($B118,AS$9,"fill=b"))</f>
        <v/>
      </c>
      <c r="AT118" s="150" t="str">
        <f>IF(B118="","",_xll.BDP($B118,AT$9,"fill=b"))</f>
        <v/>
      </c>
      <c r="AU118" s="258" t="str">
        <f>IF(B118="","",_xll.BDP($B118,AU$9,"fill=b"))</f>
        <v/>
      </c>
    </row>
    <row r="119" spans="2:47" ht="15" x14ac:dyDescent="0.25">
      <c r="B119" s="232"/>
      <c r="C119" s="150" t="str">
        <f>IF(B119="","",_xll.BDP($B119,C$9,"fill=b"))</f>
        <v/>
      </c>
      <c r="D119" s="150" t="str">
        <f>IF(B119="","",_xll.BDP($B119,D$9,"fill=b"))</f>
        <v/>
      </c>
      <c r="E119" s="150" t="str">
        <f>IF(B119="","",_xll.BDP($B119,E$9,"fill=b"))</f>
        <v/>
      </c>
      <c r="F119" s="150" t="str">
        <f>IF(B119="","",IF(LEFT(_xll.BDP($B119,F$9,"fill=b"),1)="#","-",_xll.BDP($B119,F$9,"fill=b")))</f>
        <v/>
      </c>
      <c r="G119" s="150" t="str">
        <f>IF(B119="","",_xll.BDP($B119,G$9,"fill=b"))</f>
        <v/>
      </c>
      <c r="H119" s="150" t="str">
        <f>IF(B119="","",_xll.BDP($B119,H$9,"fill=b"))</f>
        <v/>
      </c>
      <c r="I119" s="150" t="str" cm="1">
        <f t="array" ref="I119">IF(LEFT(_xlfn.SINGLE(_xll.BDP(B119,"REFERENCE_INDEX")),1)="#",IF(LEFT(_xlfn.SINGLE(_xll.BDP(B119, "RESET_IDX"))&amp;" Index",1)="#","",_xlfn.SINGLE(_xll.BDP(B119, "RESET_IDX"))&amp;" Index"),_xll.BDP(B119,"REFERENCE_INDEX"))</f>
        <v/>
      </c>
      <c r="J119" s="150" t="str">
        <f>IF(I119="BZDIOVRA Index",IF(_xll.BDP(B119,"FLT_SPREAD")/100=0,_xll.BDP(B119,"FLT_BENCH_MULTIPLIER"),_xll.BDP(B119,"FLT_SPREAD")/100),"")</f>
        <v/>
      </c>
      <c r="K119" s="150" t="str">
        <f>IF(B119="","",IF(LEFT(_xll.BDP($B119,K$9,"fill=b"),1)="#","-",_xll.BDP($B119,K$9,"fill=b")))</f>
        <v/>
      </c>
      <c r="L119" s="233"/>
      <c r="M119" s="234" t="str">
        <f t="shared" si="25"/>
        <v/>
      </c>
      <c r="N119" s="252" t="str">
        <f>IF(B119="","",IF(R119="",IF(OR(AD119="SINKABLE",AD119="CALL/SINK"),_xll.BDP(B119,$N$9,$M$9,M119,"PRICING SOURCE",$C$6,"FILL=B"),_xll.BDP(B119,$N$9,$M$9,M119,"PRICING SOURCE",$C$6,"FILL=B")),IF(OR(AD119="SINKABLE",AD119="CALL/SINK"),_xll.BDP(B119,$N$9,$Q$10,S119,$M$9,M119,"PRICING SOURCE",$C$6,"FILL=B"),_xll.BDP(B119,$N$9,$Q$9,S119,$M$9,M119,"PRICING SOURCE",$C$6,"FILL=B"))))</f>
        <v/>
      </c>
      <c r="O119" s="235"/>
      <c r="P119" s="236" t="str">
        <f t="shared" si="32"/>
        <v/>
      </c>
      <c r="Q119" s="166" t="str" cm="1">
        <f t="array" ref="Q119">IF(ISERROR((_xlfn.SINGLE(IF(OR(AD119="SINKABLE",AD119="CALL/SINK"),_xll.BDP($B119,$Q$10,"fill=b","PRICING_SOURCE",$C$6,$AC119,$N$9,$P119,$M$9,$M119),_xll.BDP($B119,Q$9,"fill=b","PRICING_SOURCE",$C$6,$AC119,$N$9,$P119,$M$9,$M119))))*1),"",IF(OR(AD119="SINKABLE",AD119="CALL/SINK"),_xll.BDP($B119,$Q$10,"fill=b","PRICING_SOURCE",$C$6,$AC119,$N$9,$P119,$M$9,$M119),_xll.BDP($B119,Q$9,"fill=b","PRICING_SOURCE",$C$6,$AC119,$N$9,$P119,$M$9,$M119)))</f>
        <v/>
      </c>
      <c r="R119" s="237"/>
      <c r="S119" s="238" t="str">
        <f t="shared" si="33"/>
        <v/>
      </c>
      <c r="T119" s="239" t="str" cm="1">
        <f t="array" ref="T119">IF(ISERROR((_xlfn.SINGLE(IF(OR(AD119="SINKABLE",AD119="CALL/SINK"),_xll.BDP($B119,$Q$10,"fill=b","PRICING_SOURCE",$C$6,$AC119,$M$9,$U119,"px ask",$AE119),_xll.BDP($B119,Q$9,"fill=b","PRICING_SOURCE",$C$6,$AC119,$M$9,$U119,"px ask",$AE119))))*1),"",IF(OR(AD119="SINKABLE",AD119="CALL/SINK"),_xll.BDP($B119,$Q$10,"fill=b","PRICING_SOURCE",$C$6,$AC119,$M$9,$U119,"px ask",$AE119),_xll.BDP($B119,Q$9,"fill=b","PRICING_SOURCE",$C$6,$AC119,$M$9,$U119,"px ask",$AE119)))</f>
        <v/>
      </c>
      <c r="U119" s="240" t="str">
        <f t="shared" si="29"/>
        <v/>
      </c>
      <c r="V119" s="254" t="str">
        <f>IF(B119="","",IF(I119="BZDIOVRA Index",IF(OR(AD119="SINKABLE",AD119="CALL/SINK"),_xll.BDP($B119,"PX_ASK",$Q$10,J119,$M$9,M119),_xll.BDP($B119,"PX_"&amp;$H$7,$Q$9,J119,$M$9,M119)),_xll.BDP($B119,"PX_"&amp;$H$7,$Q$9,_xll.BDP(B119,"CPN"),$M$9,M119)))</f>
        <v/>
      </c>
      <c r="W119" s="254" t="str">
        <f t="shared" si="30"/>
        <v/>
      </c>
      <c r="X119" s="166" t="str">
        <f>IF(B119="","",IF(OR(AD119="SINKABLE",AD119="CALL/SINK"),_xll.BDP($B119,X$9,"fill=b","PRICING_SOURCE",$C$6,$AC119,$M$9,$M119,$N$9,$P119,$Q$10,$S119),_xll.BDP($B119,X$9,"fill=b","PRICING_SOURCE",$C$6,$AC119,$M$9,$M119,$N$9,$P119,$Q$9,$S119)))</f>
        <v/>
      </c>
      <c r="Y119" s="166" t="str">
        <f>IF(B119="","",IF(OR(AD119="SINKABLE",AD119="CALL/SINK"),_xll.BDP($B119,Y$9,"fill=b","PRICING_SOURCE",$C$6,$AC119,$M$9,$M119,$N$9,$P119,$Q$10,$S119),_xll.BDP($B119,Y$9,"fill=b","PRICING_SOURCE",$C$6,$AC119,$M$9,$M119,$N$9,$P119,$Q$9,$S119)))</f>
        <v/>
      </c>
      <c r="Z119" s="255" t="str">
        <f>IF(B119="","",IF(OR(AD119="SINKABLE",AD119="CALL/SINK"),_xll.BDP($B119,Z$9,"fill=b","PRICING_SOURCE",$C$6,$AC119,$M$9,$M119,$N$9,$P119,$Q$10,$S119),_xll.BDP($B119,Z$9,"fill=b","PRICING_SOURCE",$C$6,$AC119,$M$9,$M119,$N$9,$P119,$Q$9,$S119)))</f>
        <v/>
      </c>
      <c r="AA119" s="166" t="str">
        <f>IF(B119="","",IF(OR(AD119="SINKABLE",AD119="CALL/SINK"),_xll.BDP($B119,AA$9,"fill=b","PRICING_SOURCE",$C$6,$AC119,$M$9,$M119,$N$9,$P119,$Q$10,$S119),_xll.BDP($B119,AA$9,"fill=b","PRICING_SOURCE",$C$6,$AC119,$M$9,$M119,$N$9,$P119,$Q$9,$S119)))</f>
        <v/>
      </c>
      <c r="AB119" s="150" t="str">
        <f>IF(B119="","",IF(LEFT(_xll.BDP($B119,AB$9,"fill=b"),1)="#","-",_xll.BDP($B119,AB$9,"fill=b")))</f>
        <v/>
      </c>
      <c r="AC119" s="150" t="str">
        <f t="shared" si="34"/>
        <v>YLD FLAG=2</v>
      </c>
      <c r="AD119" s="150" t="str">
        <f>IF(B119="","",_xll.BDP($B119,AD$9,"fill=b"))</f>
        <v/>
      </c>
      <c r="AE119" s="256" t="str">
        <f>IF(B119="","",IF(ISERROR(_xll.BDH(B119,"PX LAST",AN119,AN119,"DAYS=ALL","PRICING SOURCE",$C$6)*1),_xll.BDP(B119,"PAR AMT"),_xll.BDH(B119,"PX LAST",AN119,AN119,"DAYS=ALL","PRICING SOURCE",$C$6)))</f>
        <v/>
      </c>
      <c r="AF119" s="150" t="str">
        <f>IF(B119="","",_xll.BDP($B119,AF$9,"fill=b"))</f>
        <v/>
      </c>
      <c r="AG119" s="150"/>
      <c r="AH119" s="190" t="str">
        <f>IF(B119="","",IF($AD119="AT MATURITY",$AB119*1,_xll.BADDPERIODS(_xll.BDP($B119,"issue dt"),"numberofperiods",TRUNC(_xll.BDP($B119,"YRS_TO_LONGEST_AVG_LIFE","YLD_YTM_BID",AF119,"SETTLE_DT",U119,AC119),0),"per=y")+(ROUND(MOD(_xll.BDP(B119,"YRS_TO_LONGEST_AVG_LIFE","YLD_YTM_BID",AF119,"SETTLE_DT",U119,AC119),1)*360,0))))</f>
        <v/>
      </c>
      <c r="AI119" s="150" t="str">
        <f t="array" ref="AI119">IF(B119="","",AF119-_xll.BInterpol(_xll.BDP(_xll.BDS("YCGT0372 Index","curve members","CURVE_DATE", $U119,"endcol=1","array=true"),"maturity")*1,_xll.BDH(_xll.BDS("YCGT0372 Index","curve members","CURVE_DATE", $U119,"endcol=1","array=true"),"yld cnv mid",$U119,$U119,"days=all"),AH119,"CUBIC","Extrapolate=LINEAR","SKIP=TRUE","SORT=TRUE","MultiX=Average"))</f>
        <v/>
      </c>
      <c r="AJ119" s="189" t="str">
        <f t="shared" si="31"/>
        <v/>
      </c>
      <c r="AK119" s="257" t="str">
        <f>IF(B119="","",_xll.BDP($B119,AK$9,"fill=b"))</f>
        <v/>
      </c>
      <c r="AL119" s="257" t="str">
        <f>IF(B119="","",_xll.BDP($B119,AL$9,"fill=b"))</f>
        <v/>
      </c>
      <c r="AM119" s="256" t="str">
        <f>IF(B119="","",_xll.BDP($B119,AM$9,"fill=b"))</f>
        <v/>
      </c>
      <c r="AN119" s="150" t="str">
        <f>IF(B119="","",_xll.BDP($B119,AN$9,"fill=b"))</f>
        <v/>
      </c>
      <c r="AO119" s="150" t="str">
        <f>IF(B119="","",IF(LEFT(_xll.BDP($B119,AO$9,"fill=b"),1)="#","-",_xll.BDP($B119,AO$9,"fill=b")))</f>
        <v/>
      </c>
      <c r="AP119" s="150" t="str">
        <f>IF(B119="","",_xll.BDP($B119,AP$9,"fill=b"))</f>
        <v/>
      </c>
      <c r="AQ119" s="150" t="str">
        <f>IF(B119="","",_xll.BDP($B119,AQ$9,"fill=b"))</f>
        <v/>
      </c>
      <c r="AR119" s="150" t="str">
        <f>IF(B119="","",_xll.BDP($B119,AR$9,"fill=b"))</f>
        <v/>
      </c>
      <c r="AS119" s="150" t="str">
        <f>IF(B119="","",_xll.BDP($B119,AS$9,"fill=b"))</f>
        <v/>
      </c>
      <c r="AT119" s="150" t="str">
        <f>IF(B119="","",_xll.BDP($B119,AT$9,"fill=b"))</f>
        <v/>
      </c>
      <c r="AU119" s="258" t="str">
        <f>IF(B119="","",_xll.BDP($B119,AU$9,"fill=b"))</f>
        <v/>
      </c>
    </row>
    <row r="120" spans="2:47" ht="15" x14ac:dyDescent="0.25">
      <c r="B120" s="232"/>
      <c r="C120" s="150" t="str">
        <f>IF(B120="","",_xll.BDP($B120,C$9,"fill=b"))</f>
        <v/>
      </c>
      <c r="D120" s="150" t="str">
        <f>IF(B120="","",_xll.BDP($B120,D$9,"fill=b"))</f>
        <v/>
      </c>
      <c r="E120" s="150" t="str">
        <f>IF(B120="","",_xll.BDP($B120,E$9,"fill=b"))</f>
        <v/>
      </c>
      <c r="F120" s="150" t="str">
        <f>IF(B120="","",IF(LEFT(_xll.BDP($B120,F$9,"fill=b"),1)="#","-",_xll.BDP($B120,F$9,"fill=b")))</f>
        <v/>
      </c>
      <c r="G120" s="150" t="str">
        <f>IF(B120="","",_xll.BDP($B120,G$9,"fill=b"))</f>
        <v/>
      </c>
      <c r="H120" s="150" t="str">
        <f>IF(B120="","",_xll.BDP($B120,H$9,"fill=b"))</f>
        <v/>
      </c>
      <c r="I120" s="150" t="str" cm="1">
        <f t="array" ref="I120">IF(LEFT(_xlfn.SINGLE(_xll.BDP(B120,"REFERENCE_INDEX")),1)="#",IF(LEFT(_xlfn.SINGLE(_xll.BDP(B120, "RESET_IDX"))&amp;" Index",1)="#","",_xlfn.SINGLE(_xll.BDP(B120, "RESET_IDX"))&amp;" Index"),_xll.BDP(B120,"REFERENCE_INDEX"))</f>
        <v/>
      </c>
      <c r="J120" s="150" t="str">
        <f>IF(I120="BZDIOVRA Index",IF(_xll.BDP(B120,"FLT_SPREAD")/100=0,_xll.BDP(B120,"FLT_BENCH_MULTIPLIER"),_xll.BDP(B120,"FLT_SPREAD")/100),"")</f>
        <v/>
      </c>
      <c r="K120" s="150" t="str">
        <f>IF(B120="","",IF(LEFT(_xll.BDP($B120,K$9,"fill=b"),1)="#","-",_xll.BDP($B120,K$9,"fill=b")))</f>
        <v/>
      </c>
      <c r="L120" s="233"/>
      <c r="M120" s="234" t="str">
        <f t="shared" si="25"/>
        <v/>
      </c>
      <c r="N120" s="252" t="str">
        <f>IF(B120="","",IF(R120="",IF(OR(AD120="SINKABLE",AD120="CALL/SINK"),_xll.BDP(B120,$N$9,$M$9,M120,"PRICING SOURCE",$C$6,"FILL=B"),_xll.BDP(B120,$N$9,$M$9,M120,"PRICING SOURCE",$C$6,"FILL=B")),IF(OR(AD120="SINKABLE",AD120="CALL/SINK"),_xll.BDP(B120,$N$9,$Q$10,S120,$M$9,M120,"PRICING SOURCE",$C$6,"FILL=B"),_xll.BDP(B120,$N$9,$Q$9,S120,$M$9,M120,"PRICING SOURCE",$C$6,"FILL=B"))))</f>
        <v/>
      </c>
      <c r="O120" s="235"/>
      <c r="P120" s="236" t="str">
        <f t="shared" si="32"/>
        <v/>
      </c>
      <c r="Q120" s="166" t="str" cm="1">
        <f t="array" ref="Q120">IF(ISERROR((_xlfn.SINGLE(IF(OR(AD120="SINKABLE",AD120="CALL/SINK"),_xll.BDP($B120,$Q$10,"fill=b","PRICING_SOURCE",$C$6,$AC120,$N$9,$P120,$M$9,$M120),_xll.BDP($B120,Q$9,"fill=b","PRICING_SOURCE",$C$6,$AC120,$N$9,$P120,$M$9,$M120))))*1),"",IF(OR(AD120="SINKABLE",AD120="CALL/SINK"),_xll.BDP($B120,$Q$10,"fill=b","PRICING_SOURCE",$C$6,$AC120,$N$9,$P120,$M$9,$M120),_xll.BDP($B120,Q$9,"fill=b","PRICING_SOURCE",$C$6,$AC120,$N$9,$P120,$M$9,$M120)))</f>
        <v/>
      </c>
      <c r="R120" s="237"/>
      <c r="S120" s="238" t="str">
        <f t="shared" si="33"/>
        <v/>
      </c>
      <c r="T120" s="239" t="str" cm="1">
        <f t="array" ref="T120">IF(ISERROR((_xlfn.SINGLE(IF(OR(AD120="SINKABLE",AD120="CALL/SINK"),_xll.BDP($B120,$Q$10,"fill=b","PRICING_SOURCE",$C$6,$AC120,$M$9,$U120,"px ask",$AE120),_xll.BDP($B120,Q$9,"fill=b","PRICING_SOURCE",$C$6,$AC120,$M$9,$U120,"px ask",$AE120))))*1),"",IF(OR(AD120="SINKABLE",AD120="CALL/SINK"),_xll.BDP($B120,$Q$10,"fill=b","PRICING_SOURCE",$C$6,$AC120,$M$9,$U120,"px ask",$AE120),_xll.BDP($B120,Q$9,"fill=b","PRICING_SOURCE",$C$6,$AC120,$M$9,$U120,"px ask",$AE120)))</f>
        <v/>
      </c>
      <c r="U120" s="240" t="str">
        <f t="shared" si="29"/>
        <v/>
      </c>
      <c r="V120" s="254" t="str">
        <f>IF(B120="","",IF(I120="BZDIOVRA Index",IF(OR(AD120="SINKABLE",AD120="CALL/SINK"),_xll.BDP($B120,"PX_ASK",$Q$10,J120,$M$9,M120),_xll.BDP($B120,"PX_"&amp;$H$7,$Q$9,J120,$M$9,M120)),_xll.BDP($B120,"PX_"&amp;$H$7,$Q$9,_xll.BDP(B120,"CPN"),$M$9,M120)))</f>
        <v/>
      </c>
      <c r="W120" s="254" t="str">
        <f t="shared" si="30"/>
        <v/>
      </c>
      <c r="X120" s="166" t="str">
        <f>IF(B120="","",IF(OR(AD120="SINKABLE",AD120="CALL/SINK"),_xll.BDP($B120,X$9,"fill=b","PRICING_SOURCE",$C$6,$AC120,$M$9,$M120,$N$9,$P120,$Q$10,$S120),_xll.BDP($B120,X$9,"fill=b","PRICING_SOURCE",$C$6,$AC120,$M$9,$M120,$N$9,$P120,$Q$9,$S120)))</f>
        <v/>
      </c>
      <c r="Y120" s="166" t="str">
        <f>IF(B120="","",IF(OR(AD120="SINKABLE",AD120="CALL/SINK"),_xll.BDP($B120,Y$9,"fill=b","PRICING_SOURCE",$C$6,$AC120,$M$9,$M120,$N$9,$P120,$Q$10,$S120),_xll.BDP($B120,Y$9,"fill=b","PRICING_SOURCE",$C$6,$AC120,$M$9,$M120,$N$9,$P120,$Q$9,$S120)))</f>
        <v/>
      </c>
      <c r="Z120" s="255" t="str">
        <f>IF(B120="","",IF(OR(AD120="SINKABLE",AD120="CALL/SINK"),_xll.BDP($B120,Z$9,"fill=b","PRICING_SOURCE",$C$6,$AC120,$M$9,$M120,$N$9,$P120,$Q$10,$S120),_xll.BDP($B120,Z$9,"fill=b","PRICING_SOURCE",$C$6,$AC120,$M$9,$M120,$N$9,$P120,$Q$9,$S120)))</f>
        <v/>
      </c>
      <c r="AA120" s="166" t="str">
        <f>IF(B120="","",IF(OR(AD120="SINKABLE",AD120="CALL/SINK"),_xll.BDP($B120,AA$9,"fill=b","PRICING_SOURCE",$C$6,$AC120,$M$9,$M120,$N$9,$P120,$Q$10,$S120),_xll.BDP($B120,AA$9,"fill=b","PRICING_SOURCE",$C$6,$AC120,$M$9,$M120,$N$9,$P120,$Q$9,$S120)))</f>
        <v/>
      </c>
      <c r="AB120" s="150" t="str">
        <f>IF(B120="","",IF(LEFT(_xll.BDP($B120,AB$9,"fill=b"),1)="#","-",_xll.BDP($B120,AB$9,"fill=b")))</f>
        <v/>
      </c>
      <c r="AC120" s="150" t="str">
        <f t="shared" si="34"/>
        <v>YLD FLAG=2</v>
      </c>
      <c r="AD120" s="150" t="str">
        <f>IF(B120="","",_xll.BDP($B120,AD$9,"fill=b"))</f>
        <v/>
      </c>
      <c r="AE120" s="256" t="str">
        <f>IF(B120="","",IF(ISERROR(_xll.BDH(B120,"PX LAST",AN120,AN120,"DAYS=ALL","PRICING SOURCE",$C$6)*1),_xll.BDP(B120,"PAR AMT"),_xll.BDH(B120,"PX LAST",AN120,AN120,"DAYS=ALL","PRICING SOURCE",$C$6)))</f>
        <v/>
      </c>
      <c r="AF120" s="150" t="str">
        <f>IF(B120="","",_xll.BDP($B120,AF$9,"fill=b"))</f>
        <v/>
      </c>
      <c r="AG120" s="150"/>
      <c r="AH120" s="190" t="str">
        <f>IF(B120="","",IF($AD120="AT MATURITY",$AB120*1,_xll.BADDPERIODS(_xll.BDP($B120,"issue dt"),"numberofperiods",TRUNC(_xll.BDP($B120,"YRS_TO_LONGEST_AVG_LIFE","YLD_YTM_BID",AF120,"SETTLE_DT",U120,AC120),0),"per=y")+(ROUND(MOD(_xll.BDP(B120,"YRS_TO_LONGEST_AVG_LIFE","YLD_YTM_BID",AF120,"SETTLE_DT",U120,AC120),1)*360,0))))</f>
        <v/>
      </c>
      <c r="AI120" s="150" t="str">
        <f t="array" ref="AI120">IF(B120="","",AF120-_xll.BInterpol(_xll.BDP(_xll.BDS("YCGT0372 Index","curve members","CURVE_DATE", $U120,"endcol=1","array=true"),"maturity")*1,_xll.BDH(_xll.BDS("YCGT0372 Index","curve members","CURVE_DATE", $U120,"endcol=1","array=true"),"yld cnv mid",$U120,$U120,"days=all"),AH120,"CUBIC","Extrapolate=LINEAR","SKIP=TRUE","SORT=TRUE","MultiX=Average"))</f>
        <v/>
      </c>
      <c r="AJ120" s="189" t="str">
        <f t="shared" si="31"/>
        <v/>
      </c>
      <c r="AK120" s="257" t="str">
        <f>IF(B120="","",_xll.BDP($B120,AK$9,"fill=b"))</f>
        <v/>
      </c>
      <c r="AL120" s="257" t="str">
        <f>IF(B120="","",_xll.BDP($B120,AL$9,"fill=b"))</f>
        <v/>
      </c>
      <c r="AM120" s="256" t="str">
        <f>IF(B120="","",_xll.BDP($B120,AM$9,"fill=b"))</f>
        <v/>
      </c>
      <c r="AN120" s="150" t="str">
        <f>IF(B120="","",_xll.BDP($B120,AN$9,"fill=b"))</f>
        <v/>
      </c>
      <c r="AO120" s="150" t="str">
        <f>IF(B120="","",IF(LEFT(_xll.BDP($B120,AO$9,"fill=b"),1)="#","-",_xll.BDP($B120,AO$9,"fill=b")))</f>
        <v/>
      </c>
      <c r="AP120" s="150" t="str">
        <f>IF(B120="","",_xll.BDP($B120,AP$9,"fill=b"))</f>
        <v/>
      </c>
      <c r="AQ120" s="150" t="str">
        <f>IF(B120="","",_xll.BDP($B120,AQ$9,"fill=b"))</f>
        <v/>
      </c>
      <c r="AR120" s="150" t="str">
        <f>IF(B120="","",_xll.BDP($B120,AR$9,"fill=b"))</f>
        <v/>
      </c>
      <c r="AS120" s="150" t="str">
        <f>IF(B120="","",_xll.BDP($B120,AS$9,"fill=b"))</f>
        <v/>
      </c>
      <c r="AT120" s="150" t="str">
        <f>IF(B120="","",_xll.BDP($B120,AT$9,"fill=b"))</f>
        <v/>
      </c>
      <c r="AU120" s="258" t="str">
        <f>IF(B120="","",_xll.BDP($B120,AU$9,"fill=b"))</f>
        <v/>
      </c>
    </row>
    <row r="121" spans="2:47" ht="15" x14ac:dyDescent="0.25">
      <c r="B121" s="232"/>
      <c r="C121" s="150" t="str">
        <f>IF(B121="","",_xll.BDP($B121,C$9,"fill=b"))</f>
        <v/>
      </c>
      <c r="D121" s="150" t="str">
        <f>IF(B121="","",_xll.BDP($B121,D$9,"fill=b"))</f>
        <v/>
      </c>
      <c r="E121" s="150" t="str">
        <f>IF(B121="","",_xll.BDP($B121,E$9,"fill=b"))</f>
        <v/>
      </c>
      <c r="F121" s="150" t="str">
        <f>IF(B121="","",IF(LEFT(_xll.BDP($B121,F$9,"fill=b"),1)="#","-",_xll.BDP($B121,F$9,"fill=b")))</f>
        <v/>
      </c>
      <c r="G121" s="150" t="str">
        <f>IF(B121="","",_xll.BDP($B121,G$9,"fill=b"))</f>
        <v/>
      </c>
      <c r="H121" s="150" t="str">
        <f>IF(B121="","",_xll.BDP($B121,H$9,"fill=b"))</f>
        <v/>
      </c>
      <c r="I121" s="150" t="str" cm="1">
        <f t="array" ref="I121">IF(LEFT(_xlfn.SINGLE(_xll.BDP(B121,"REFERENCE_INDEX")),1)="#",IF(LEFT(_xlfn.SINGLE(_xll.BDP(B121, "RESET_IDX"))&amp;" Index",1)="#","",_xlfn.SINGLE(_xll.BDP(B121, "RESET_IDX"))&amp;" Index"),_xll.BDP(B121,"REFERENCE_INDEX"))</f>
        <v/>
      </c>
      <c r="J121" s="150" t="str">
        <f>IF(I121="BZDIOVRA Index",IF(_xll.BDP(B121,"FLT_SPREAD")/100=0,_xll.BDP(B121,"FLT_BENCH_MULTIPLIER"),_xll.BDP(B121,"FLT_SPREAD")/100),"")</f>
        <v/>
      </c>
      <c r="K121" s="150" t="str">
        <f>IF(B121="","",IF(LEFT(_xll.BDP($B121,K$9,"fill=b"),1)="#","-",_xll.BDP($B121,K$9,"fill=b")))</f>
        <v/>
      </c>
      <c r="L121" s="233"/>
      <c r="M121" s="234" t="str">
        <f t="shared" si="25"/>
        <v/>
      </c>
      <c r="N121" s="252" t="str">
        <f>IF(B121="","",IF(R121="",IF(OR(AD121="SINKABLE",AD121="CALL/SINK"),_xll.BDP(B121,$N$9,$M$9,M121,"PRICING SOURCE",$C$6,"FILL=B"),_xll.BDP(B121,$N$9,$M$9,M121,"PRICING SOURCE",$C$6,"FILL=B")),IF(OR(AD121="SINKABLE",AD121="CALL/SINK"),_xll.BDP(B121,$N$9,$Q$10,S121,$M$9,M121,"PRICING SOURCE",$C$6,"FILL=B"),_xll.BDP(B121,$N$9,$Q$9,S121,$M$9,M121,"PRICING SOURCE",$C$6,"FILL=B"))))</f>
        <v/>
      </c>
      <c r="O121" s="235"/>
      <c r="P121" s="236" t="str">
        <f t="shared" si="32"/>
        <v/>
      </c>
      <c r="Q121" s="166" t="str" cm="1">
        <f t="array" ref="Q121">IF(ISERROR((_xlfn.SINGLE(IF(OR(AD121="SINKABLE",AD121="CALL/SINK"),_xll.BDP($B121,$Q$10,"fill=b","PRICING_SOURCE",$C$6,$AC121,$N$9,$P121,$M$9,$M121),_xll.BDP($B121,Q$9,"fill=b","PRICING_SOURCE",$C$6,$AC121,$N$9,$P121,$M$9,$M121))))*1),"",IF(OR(AD121="SINKABLE",AD121="CALL/SINK"),_xll.BDP($B121,$Q$10,"fill=b","PRICING_SOURCE",$C$6,$AC121,$N$9,$P121,$M$9,$M121),_xll.BDP($B121,Q$9,"fill=b","PRICING_SOURCE",$C$6,$AC121,$N$9,$P121,$M$9,$M121)))</f>
        <v/>
      </c>
      <c r="R121" s="237"/>
      <c r="S121" s="238" t="str">
        <f t="shared" si="33"/>
        <v/>
      </c>
      <c r="T121" s="239" t="str" cm="1">
        <f t="array" ref="T121">IF(ISERROR((_xlfn.SINGLE(IF(OR(AD121="SINKABLE",AD121="CALL/SINK"),_xll.BDP($B121,$Q$10,"fill=b","PRICING_SOURCE",$C$6,$AC121,$M$9,$U121,"px ask",$AE121),_xll.BDP($B121,Q$9,"fill=b","PRICING_SOURCE",$C$6,$AC121,$M$9,$U121,"px ask",$AE121))))*1),"",IF(OR(AD121="SINKABLE",AD121="CALL/SINK"),_xll.BDP($B121,$Q$10,"fill=b","PRICING_SOURCE",$C$6,$AC121,$M$9,$U121,"px ask",$AE121),_xll.BDP($B121,Q$9,"fill=b","PRICING_SOURCE",$C$6,$AC121,$M$9,$U121,"px ask",$AE121)))</f>
        <v/>
      </c>
      <c r="U121" s="240" t="str">
        <f t="shared" si="29"/>
        <v/>
      </c>
      <c r="V121" s="254" t="str">
        <f>IF(B121="","",IF(I121="BZDIOVRA Index",IF(OR(AD121="SINKABLE",AD121="CALL/SINK"),_xll.BDP($B121,"PX_ASK",$Q$10,J121,$M$9,M121),_xll.BDP($B121,"PX_"&amp;$H$7,$Q$9,J121,$M$9,M121)),_xll.BDP($B121,"PX_"&amp;$H$7,$Q$9,_xll.BDP(B121,"CPN"),$M$9,M121)))</f>
        <v/>
      </c>
      <c r="W121" s="254" t="str">
        <f t="shared" si="30"/>
        <v/>
      </c>
      <c r="X121" s="166" t="str">
        <f>IF(B121="","",IF(OR(AD121="SINKABLE",AD121="CALL/SINK"),_xll.BDP($B121,X$9,"fill=b","PRICING_SOURCE",$C$6,$AC121,$M$9,$M121,$N$9,$P121,$Q$10,$S121),_xll.BDP($B121,X$9,"fill=b","PRICING_SOURCE",$C$6,$AC121,$M$9,$M121,$N$9,$P121,$Q$9,$S121)))</f>
        <v/>
      </c>
      <c r="Y121" s="166" t="str">
        <f>IF(B121="","",IF(OR(AD121="SINKABLE",AD121="CALL/SINK"),_xll.BDP($B121,Y$9,"fill=b","PRICING_SOURCE",$C$6,$AC121,$M$9,$M121,$N$9,$P121,$Q$10,$S121),_xll.BDP($B121,Y$9,"fill=b","PRICING_SOURCE",$C$6,$AC121,$M$9,$M121,$N$9,$P121,$Q$9,$S121)))</f>
        <v/>
      </c>
      <c r="Z121" s="255" t="str">
        <f>IF(B121="","",IF(OR(AD121="SINKABLE",AD121="CALL/SINK"),_xll.BDP($B121,Z$9,"fill=b","PRICING_SOURCE",$C$6,$AC121,$M$9,$M121,$N$9,$P121,$Q$10,$S121),_xll.BDP($B121,Z$9,"fill=b","PRICING_SOURCE",$C$6,$AC121,$M$9,$M121,$N$9,$P121,$Q$9,$S121)))</f>
        <v/>
      </c>
      <c r="AA121" s="166" t="str">
        <f>IF(B121="","",IF(OR(AD121="SINKABLE",AD121="CALL/SINK"),_xll.BDP($B121,AA$9,"fill=b","PRICING_SOURCE",$C$6,$AC121,$M$9,$M121,$N$9,$P121,$Q$10,$S121),_xll.BDP($B121,AA$9,"fill=b","PRICING_SOURCE",$C$6,$AC121,$M$9,$M121,$N$9,$P121,$Q$9,$S121)))</f>
        <v/>
      </c>
      <c r="AB121" s="150" t="str">
        <f>IF(B121="","",IF(LEFT(_xll.BDP($B121,AB$9,"fill=b"),1)="#","-",_xll.BDP($B121,AB$9,"fill=b")))</f>
        <v/>
      </c>
      <c r="AC121" s="150" t="str">
        <f t="shared" si="34"/>
        <v>YLD FLAG=2</v>
      </c>
      <c r="AD121" s="150" t="str">
        <f>IF(B121="","",_xll.BDP($B121,AD$9,"fill=b"))</f>
        <v/>
      </c>
      <c r="AE121" s="256" t="str">
        <f>IF(B121="","",IF(ISERROR(_xll.BDH(B121,"PX LAST",AN121,AN121,"DAYS=ALL","PRICING SOURCE",$C$6)*1),_xll.BDP(B121,"PAR AMT"),_xll.BDH(B121,"PX LAST",AN121,AN121,"DAYS=ALL","PRICING SOURCE",$C$6)))</f>
        <v/>
      </c>
      <c r="AF121" s="150" t="str">
        <f>IF(B121="","",_xll.BDP($B121,AF$9,"fill=b"))</f>
        <v/>
      </c>
      <c r="AG121" s="150"/>
      <c r="AH121" s="190" t="str">
        <f>IF(B121="","",IF($AD121="AT MATURITY",$AB121*1,_xll.BADDPERIODS(_xll.BDP($B121,"issue dt"),"numberofperiods",TRUNC(_xll.BDP($B121,"YRS_TO_LONGEST_AVG_LIFE","YLD_YTM_BID",AF121,"SETTLE_DT",U121,AC121),0),"per=y")+(ROUND(MOD(_xll.BDP(B121,"YRS_TO_LONGEST_AVG_LIFE","YLD_YTM_BID",AF121,"SETTLE_DT",U121,AC121),1)*360,0))))</f>
        <v/>
      </c>
      <c r="AI121" s="150" t="str">
        <f t="array" ref="AI121">IF(B121="","",AF121-_xll.BInterpol(_xll.BDP(_xll.BDS("YCGT0372 Index","curve members","CURVE_DATE", $U121,"endcol=1","array=true"),"maturity")*1,_xll.BDH(_xll.BDS("YCGT0372 Index","curve members","CURVE_DATE", $U121,"endcol=1","array=true"),"yld cnv mid",$U121,$U121,"days=all"),AH121,"CUBIC","Extrapolate=LINEAR","SKIP=TRUE","SORT=TRUE","MultiX=Average"))</f>
        <v/>
      </c>
      <c r="AJ121" s="189" t="str">
        <f t="shared" si="31"/>
        <v/>
      </c>
      <c r="AK121" s="257" t="str">
        <f>IF(B121="","",_xll.BDP($B121,AK$9,"fill=b"))</f>
        <v/>
      </c>
      <c r="AL121" s="257" t="str">
        <f>IF(B121="","",_xll.BDP($B121,AL$9,"fill=b"))</f>
        <v/>
      </c>
      <c r="AM121" s="256" t="str">
        <f>IF(B121="","",_xll.BDP($B121,AM$9,"fill=b"))</f>
        <v/>
      </c>
      <c r="AN121" s="150" t="str">
        <f>IF(B121="","",_xll.BDP($B121,AN$9,"fill=b"))</f>
        <v/>
      </c>
      <c r="AO121" s="150" t="str">
        <f>IF(B121="","",IF(LEFT(_xll.BDP($B121,AO$9,"fill=b"),1)="#","-",_xll.BDP($B121,AO$9,"fill=b")))</f>
        <v/>
      </c>
      <c r="AP121" s="150" t="str">
        <f>IF(B121="","",_xll.BDP($B121,AP$9,"fill=b"))</f>
        <v/>
      </c>
      <c r="AQ121" s="150" t="str">
        <f>IF(B121="","",_xll.BDP($B121,AQ$9,"fill=b"))</f>
        <v/>
      </c>
      <c r="AR121" s="150" t="str">
        <f>IF(B121="","",_xll.BDP($B121,AR$9,"fill=b"))</f>
        <v/>
      </c>
      <c r="AS121" s="150" t="str">
        <f>IF(B121="","",_xll.BDP($B121,AS$9,"fill=b"))</f>
        <v/>
      </c>
      <c r="AT121" s="150" t="str">
        <f>IF(B121="","",_xll.BDP($B121,AT$9,"fill=b"))</f>
        <v/>
      </c>
      <c r="AU121" s="258" t="str">
        <f>IF(B121="","",_xll.BDP($B121,AU$9,"fill=b"))</f>
        <v/>
      </c>
    </row>
    <row r="122" spans="2:47" ht="15" x14ac:dyDescent="0.25">
      <c r="B122" s="232"/>
      <c r="C122" s="150" t="str">
        <f>IF(B122="","",_xll.BDP($B122,C$9,"fill=b"))</f>
        <v/>
      </c>
      <c r="D122" s="150" t="str">
        <f>IF(B122="","",_xll.BDP($B122,D$9,"fill=b"))</f>
        <v/>
      </c>
      <c r="E122" s="150" t="str">
        <f>IF(B122="","",_xll.BDP($B122,E$9,"fill=b"))</f>
        <v/>
      </c>
      <c r="F122" s="150" t="str">
        <f>IF(B122="","",IF(LEFT(_xll.BDP($B122,F$9,"fill=b"),1)="#","-",_xll.BDP($B122,F$9,"fill=b")))</f>
        <v/>
      </c>
      <c r="G122" s="150" t="str">
        <f>IF(B122="","",_xll.BDP($B122,G$9,"fill=b"))</f>
        <v/>
      </c>
      <c r="H122" s="150" t="str">
        <f>IF(B122="","",_xll.BDP($B122,H$9,"fill=b"))</f>
        <v/>
      </c>
      <c r="I122" s="150" t="str" cm="1">
        <f t="array" ref="I122">IF(LEFT(_xlfn.SINGLE(_xll.BDP(B122,"REFERENCE_INDEX")),1)="#",IF(LEFT(_xlfn.SINGLE(_xll.BDP(B122, "RESET_IDX"))&amp;" Index",1)="#","",_xlfn.SINGLE(_xll.BDP(B122, "RESET_IDX"))&amp;" Index"),_xll.BDP(B122,"REFERENCE_INDEX"))</f>
        <v/>
      </c>
      <c r="J122" s="150" t="str">
        <f>IF(I122="BZDIOVRA Index",IF(_xll.BDP(B122,"FLT_SPREAD")/100=0,_xll.BDP(B122,"FLT_BENCH_MULTIPLIER"),_xll.BDP(B122,"FLT_SPREAD")/100),"")</f>
        <v/>
      </c>
      <c r="K122" s="150" t="str">
        <f>IF(B122="","",IF(LEFT(_xll.BDP($B122,K$9,"fill=b"),1)="#","-",_xll.BDP($B122,K$9,"fill=b")))</f>
        <v/>
      </c>
      <c r="L122" s="233"/>
      <c r="M122" s="234" t="str">
        <f t="shared" si="25"/>
        <v/>
      </c>
      <c r="N122" s="252" t="str">
        <f>IF(B122="","",IF(R122="",IF(OR(AD122="SINKABLE",AD122="CALL/SINK"),_xll.BDP(B122,$N$9,$M$9,M122,"PRICING SOURCE",$C$6,"FILL=B"),_xll.BDP(B122,$N$9,$M$9,M122,"PRICING SOURCE",$C$6,"FILL=B")),IF(OR(AD122="SINKABLE",AD122="CALL/SINK"),_xll.BDP(B122,$N$9,$Q$10,S122,$M$9,M122,"PRICING SOURCE",$C$6,"FILL=B"),_xll.BDP(B122,$N$9,$Q$9,S122,$M$9,M122,"PRICING SOURCE",$C$6,"FILL=B"))))</f>
        <v/>
      </c>
      <c r="O122" s="235"/>
      <c r="P122" s="236" t="str">
        <f t="shared" ref="P122:P132" si="35">IF(O122="",N122,O122)</f>
        <v/>
      </c>
      <c r="Q122" s="166" t="str" cm="1">
        <f t="array" ref="Q122">IF(ISERROR((_xlfn.SINGLE(IF(OR(AD122="SINKABLE",AD122="CALL/SINK"),_xll.BDP($B122,$Q$10,"fill=b","PRICING_SOURCE",$C$6,$AC122,$N$9,$P122,$M$9,$M122),_xll.BDP($B122,Q$9,"fill=b","PRICING_SOURCE",$C$6,$AC122,$N$9,$P122,$M$9,$M122))))*1),"",IF(OR(AD122="SINKABLE",AD122="CALL/SINK"),_xll.BDP($B122,$Q$10,"fill=b","PRICING_SOURCE",$C$6,$AC122,$N$9,$P122,$M$9,$M122),_xll.BDP($B122,Q$9,"fill=b","PRICING_SOURCE",$C$6,$AC122,$N$9,$P122,$M$9,$M122)))</f>
        <v/>
      </c>
      <c r="R122" s="237"/>
      <c r="S122" s="238" t="str">
        <f t="shared" ref="S122:S132" si="36">IF(R122="",Q122,R122)</f>
        <v/>
      </c>
      <c r="T122" s="239" t="str" cm="1">
        <f t="array" ref="T122">IF(ISERROR((_xlfn.SINGLE(IF(OR(AD122="SINKABLE",AD122="CALL/SINK"),_xll.BDP($B122,$Q$10,"fill=b","PRICING_SOURCE",$C$6,$AC122,$M$9,$U122,"px ask",$AE122),_xll.BDP($B122,Q$9,"fill=b","PRICING_SOURCE",$C$6,$AC122,$M$9,$U122,"px ask",$AE122))))*1),"",IF(OR(AD122="SINKABLE",AD122="CALL/SINK"),_xll.BDP($B122,$Q$10,"fill=b","PRICING_SOURCE",$C$6,$AC122,$M$9,$U122,"px ask",$AE122),_xll.BDP($B122,Q$9,"fill=b","PRICING_SOURCE",$C$6,$AC122,$M$9,$U122,"px ask",$AE122)))</f>
        <v/>
      </c>
      <c r="U122" s="240" t="str">
        <f t="shared" si="29"/>
        <v/>
      </c>
      <c r="V122" s="254" t="str">
        <f>IF(B122="","",IF(I122="BZDIOVRA Index",IF(OR(AD122="SINKABLE",AD122="CALL/SINK"),_xll.BDP($B122,"PX_ASK",$Q$10,J122,$M$9,M122),_xll.BDP($B122,"PX_"&amp;$H$7,$Q$9,J122,$M$9,M122)),_xll.BDP($B122,"PX_"&amp;$H$7,$Q$9,_xll.BDP(B122,"CPN"),$M$9,M122)))</f>
        <v/>
      </c>
      <c r="W122" s="254" t="str">
        <f t="shared" si="30"/>
        <v/>
      </c>
      <c r="X122" s="166" t="str">
        <f>IF(B122="","",IF(OR(AD122="SINKABLE",AD122="CALL/SINK"),_xll.BDP($B122,X$9,"fill=b","PRICING_SOURCE",$C$6,$AC122,$M$9,$M122,$N$9,$P122,$Q$10,$S122),_xll.BDP($B122,X$9,"fill=b","PRICING_SOURCE",$C$6,$AC122,$M$9,$M122,$N$9,$P122,$Q$9,$S122)))</f>
        <v/>
      </c>
      <c r="Y122" s="166" t="str">
        <f>IF(B122="","",IF(OR(AD122="SINKABLE",AD122="CALL/SINK"),_xll.BDP($B122,Y$9,"fill=b","PRICING_SOURCE",$C$6,$AC122,$M$9,$M122,$N$9,$P122,$Q$10,$S122),_xll.BDP($B122,Y$9,"fill=b","PRICING_SOURCE",$C$6,$AC122,$M$9,$M122,$N$9,$P122,$Q$9,$S122)))</f>
        <v/>
      </c>
      <c r="Z122" s="255" t="str">
        <f>IF(B122="","",IF(OR(AD122="SINKABLE",AD122="CALL/SINK"),_xll.BDP($B122,Z$9,"fill=b","PRICING_SOURCE",$C$6,$AC122,$M$9,$M122,$N$9,$P122,$Q$10,$S122),_xll.BDP($B122,Z$9,"fill=b","PRICING_SOURCE",$C$6,$AC122,$M$9,$M122,$N$9,$P122,$Q$9,$S122)))</f>
        <v/>
      </c>
      <c r="AA122" s="166" t="str">
        <f>IF(B122="","",IF(OR(AD122="SINKABLE",AD122="CALL/SINK"),_xll.BDP($B122,AA$9,"fill=b","PRICING_SOURCE",$C$6,$AC122,$M$9,$M122,$N$9,$P122,$Q$10,$S122),_xll.BDP($B122,AA$9,"fill=b","PRICING_SOURCE",$C$6,$AC122,$M$9,$M122,$N$9,$P122,$Q$9,$S122)))</f>
        <v/>
      </c>
      <c r="AB122" s="150" t="str">
        <f>IF(B122="","",IF(LEFT(_xll.BDP($B122,AB$9,"fill=b"),1)="#","-",_xll.BDP($B122,AB$9,"fill=b")))</f>
        <v/>
      </c>
      <c r="AC122" s="150" t="str">
        <f t="shared" ref="AC122:AC132" si="37">IF(OR(AD122="SINKABLE",AD122="CALL/SINK"),"YLD FLAG=28",IF(OR(AD122="AT MATURITY",AD122="CALLABLE"),"YLD FLAG=1","YLD FLAG=2"))</f>
        <v>YLD FLAG=2</v>
      </c>
      <c r="AD122" s="150" t="str">
        <f>IF(B122="","",_xll.BDP($B122,AD$9,"fill=b"))</f>
        <v/>
      </c>
      <c r="AE122" s="256" t="str">
        <f>IF(B122="","",IF(ISERROR(_xll.BDH(B122,"PX LAST",AN122,AN122,"DAYS=ALL","PRICING SOURCE",$C$6)*1),_xll.BDP(B122,"PAR AMT"),_xll.BDH(B122,"PX LAST",AN122,AN122,"DAYS=ALL","PRICING SOURCE",$C$6)))</f>
        <v/>
      </c>
      <c r="AF122" s="150" t="str">
        <f>IF(B122="","",_xll.BDP($B122,AF$9,"fill=b"))</f>
        <v/>
      </c>
      <c r="AG122" s="150"/>
      <c r="AH122" s="190" t="str">
        <f>IF(B122="","",IF($AD122="AT MATURITY",$AB122*1,_xll.BADDPERIODS(_xll.BDP($B122,"issue dt"),"numberofperiods",TRUNC(_xll.BDP($B122,"YRS_TO_LONGEST_AVG_LIFE","YLD_YTM_BID",AF122,"SETTLE_DT",U122,AC122),0),"per=y")+(ROUND(MOD(_xll.BDP(B122,"YRS_TO_LONGEST_AVG_LIFE","YLD_YTM_BID",AF122,"SETTLE_DT",U122,AC122),1)*360,0))))</f>
        <v/>
      </c>
      <c r="AI122" s="150" t="str">
        <f t="array" ref="AI122">IF(B122="","",AF122-_xll.BInterpol(_xll.BDP(_xll.BDS("YCGT0372 Index","curve members","CURVE_DATE", $U122,"endcol=1","array=true"),"maturity")*1,_xll.BDH(_xll.BDS("YCGT0372 Index","curve members","CURVE_DATE", $U122,"endcol=1","array=true"),"yld cnv mid",$U122,$U122,"days=all"),AH122,"CUBIC","Extrapolate=LINEAR","SKIP=TRUE","SORT=TRUE","MultiX=Average"))</f>
        <v/>
      </c>
      <c r="AJ122" s="189" t="str">
        <f t="shared" si="31"/>
        <v/>
      </c>
      <c r="AK122" s="257" t="str">
        <f>IF(B122="","",_xll.BDP($B122,AK$9,"fill=b"))</f>
        <v/>
      </c>
      <c r="AL122" s="257" t="str">
        <f>IF(B122="","",_xll.BDP($B122,AL$9,"fill=b"))</f>
        <v/>
      </c>
      <c r="AM122" s="256" t="str">
        <f>IF(B122="","",_xll.BDP($B122,AM$9,"fill=b"))</f>
        <v/>
      </c>
      <c r="AN122" s="150" t="str">
        <f>IF(B122="","",_xll.BDP($B122,AN$9,"fill=b"))</f>
        <v/>
      </c>
      <c r="AO122" s="150" t="str">
        <f>IF(B122="","",IF(LEFT(_xll.BDP($B122,AO$9,"fill=b"),1)="#","-",_xll.BDP($B122,AO$9,"fill=b")))</f>
        <v/>
      </c>
      <c r="AP122" s="150" t="str">
        <f>IF(B122="","",_xll.BDP($B122,AP$9,"fill=b"))</f>
        <v/>
      </c>
      <c r="AQ122" s="150" t="str">
        <f>IF(B122="","",_xll.BDP($B122,AQ$9,"fill=b"))</f>
        <v/>
      </c>
      <c r="AR122" s="150" t="str">
        <f>IF(B122="","",_xll.BDP($B122,AR$9,"fill=b"))</f>
        <v/>
      </c>
      <c r="AS122" s="150" t="str">
        <f>IF(B122="","",_xll.BDP($B122,AS$9,"fill=b"))</f>
        <v/>
      </c>
      <c r="AT122" s="150" t="str">
        <f>IF(B122="","",_xll.BDP($B122,AT$9,"fill=b"))</f>
        <v/>
      </c>
      <c r="AU122" s="258" t="str">
        <f>IF(B122="","",_xll.BDP($B122,AU$9,"fill=b"))</f>
        <v/>
      </c>
    </row>
    <row r="123" spans="2:47" ht="15" x14ac:dyDescent="0.25">
      <c r="B123" s="232"/>
      <c r="C123" s="150" t="str">
        <f>IF(B123="","",_xll.BDP($B123,C$9,"fill=b"))</f>
        <v/>
      </c>
      <c r="D123" s="150" t="str">
        <f>IF(B123="","",_xll.BDP($B123,D$9,"fill=b"))</f>
        <v/>
      </c>
      <c r="E123" s="150" t="str">
        <f>IF(B123="","",_xll.BDP($B123,E$9,"fill=b"))</f>
        <v/>
      </c>
      <c r="F123" s="150" t="str">
        <f>IF(B123="","",IF(LEFT(_xll.BDP($B123,F$9,"fill=b"),1)="#","-",_xll.BDP($B123,F$9,"fill=b")))</f>
        <v/>
      </c>
      <c r="G123" s="150" t="str">
        <f>IF(B123="","",_xll.BDP($B123,G$9,"fill=b"))</f>
        <v/>
      </c>
      <c r="H123" s="150" t="str">
        <f>IF(B123="","",_xll.BDP($B123,H$9,"fill=b"))</f>
        <v/>
      </c>
      <c r="I123" s="150" t="str" cm="1">
        <f t="array" ref="I123">IF(LEFT(_xlfn.SINGLE(_xll.BDP(B123,"REFERENCE_INDEX")),1)="#",IF(LEFT(_xlfn.SINGLE(_xll.BDP(B123, "RESET_IDX"))&amp;" Index",1)="#","",_xlfn.SINGLE(_xll.BDP(B123, "RESET_IDX"))&amp;" Index"),_xll.BDP(B123,"REFERENCE_INDEX"))</f>
        <v/>
      </c>
      <c r="J123" s="150" t="str">
        <f>IF(I123="BZDIOVRA Index",IF(_xll.BDP(B123,"FLT_SPREAD")/100=0,_xll.BDP(B123,"FLT_BENCH_MULTIPLIER"),_xll.BDP(B123,"FLT_SPREAD")/100),"")</f>
        <v/>
      </c>
      <c r="K123" s="150" t="str">
        <f>IF(B123="","",IF(LEFT(_xll.BDP($B123,K$9,"fill=b"),1)="#","-",_xll.BDP($B123,K$9,"fill=b")))</f>
        <v/>
      </c>
      <c r="L123" s="233"/>
      <c r="M123" s="234" t="str">
        <f t="shared" si="25"/>
        <v/>
      </c>
      <c r="N123" s="252" t="str">
        <f>IF(B123="","",IF(R123="",IF(OR(AD123="SINKABLE",AD123="CALL/SINK"),_xll.BDP(B123,$N$9,$M$9,M123,"PRICING SOURCE",$C$6,"FILL=B"),_xll.BDP(B123,$N$9,$M$9,M123,"PRICING SOURCE",$C$6,"FILL=B")),IF(OR(AD123="SINKABLE",AD123="CALL/SINK"),_xll.BDP(B123,$N$9,$Q$10,S123,$M$9,M123,"PRICING SOURCE",$C$6,"FILL=B"),_xll.BDP(B123,$N$9,$Q$9,S123,$M$9,M123,"PRICING SOURCE",$C$6,"FILL=B"))))</f>
        <v/>
      </c>
      <c r="O123" s="235"/>
      <c r="P123" s="236" t="str">
        <f t="shared" si="35"/>
        <v/>
      </c>
      <c r="Q123" s="166" t="str" cm="1">
        <f t="array" ref="Q123">IF(ISERROR((_xlfn.SINGLE(IF(OR(AD123="SINKABLE",AD123="CALL/SINK"),_xll.BDP($B123,$Q$10,"fill=b","PRICING_SOURCE",$C$6,$AC123,$N$9,$P123,$M$9,$M123),_xll.BDP($B123,Q$9,"fill=b","PRICING_SOURCE",$C$6,$AC123,$N$9,$P123,$M$9,$M123))))*1),"",IF(OR(AD123="SINKABLE",AD123="CALL/SINK"),_xll.BDP($B123,$Q$10,"fill=b","PRICING_SOURCE",$C$6,$AC123,$N$9,$P123,$M$9,$M123),_xll.BDP($B123,Q$9,"fill=b","PRICING_SOURCE",$C$6,$AC123,$N$9,$P123,$M$9,$M123)))</f>
        <v/>
      </c>
      <c r="R123" s="237"/>
      <c r="S123" s="238" t="str">
        <f t="shared" si="36"/>
        <v/>
      </c>
      <c r="T123" s="239" t="str" cm="1">
        <f t="array" ref="T123">IF(ISERROR((_xlfn.SINGLE(IF(OR(AD123="SINKABLE",AD123="CALL/SINK"),_xll.BDP($B123,$Q$10,"fill=b","PRICING_SOURCE",$C$6,$AC123,$M$9,$U123,"px ask",$AE123),_xll.BDP($B123,Q$9,"fill=b","PRICING_SOURCE",$C$6,$AC123,$M$9,$U123,"px ask",$AE123))))*1),"",IF(OR(AD123="SINKABLE",AD123="CALL/SINK"),_xll.BDP($B123,$Q$10,"fill=b","PRICING_SOURCE",$C$6,$AC123,$M$9,$U123,"px ask",$AE123),_xll.BDP($B123,Q$9,"fill=b","PRICING_SOURCE",$C$6,$AC123,$M$9,$U123,"px ask",$AE123)))</f>
        <v/>
      </c>
      <c r="U123" s="240" t="str">
        <f t="shared" si="29"/>
        <v/>
      </c>
      <c r="V123" s="254" t="str">
        <f>IF(B123="","",IF(I123="BZDIOVRA Index",IF(OR(AD123="SINKABLE",AD123="CALL/SINK"),_xll.BDP($B123,"PX_ASK",$Q$10,J123,$M$9,M123),_xll.BDP($B123,"PX_"&amp;$H$7,$Q$9,J123,$M$9,M123)),_xll.BDP($B123,"PX_"&amp;$H$7,$Q$9,_xll.BDP(B123,"CPN"),$M$9,M123)))</f>
        <v/>
      </c>
      <c r="W123" s="254" t="str">
        <f t="shared" si="30"/>
        <v/>
      </c>
      <c r="X123" s="166" t="str">
        <f>IF(B123="","",IF(OR(AD123="SINKABLE",AD123="CALL/SINK"),_xll.BDP($B123,X$9,"fill=b","PRICING_SOURCE",$C$6,$AC123,$M$9,$M123,$N$9,$P123,$Q$10,$S123),_xll.BDP($B123,X$9,"fill=b","PRICING_SOURCE",$C$6,$AC123,$M$9,$M123,$N$9,$P123,$Q$9,$S123)))</f>
        <v/>
      </c>
      <c r="Y123" s="166" t="str">
        <f>IF(B123="","",IF(OR(AD123="SINKABLE",AD123="CALL/SINK"),_xll.BDP($B123,Y$9,"fill=b","PRICING_SOURCE",$C$6,$AC123,$M$9,$M123,$N$9,$P123,$Q$10,$S123),_xll.BDP($B123,Y$9,"fill=b","PRICING_SOURCE",$C$6,$AC123,$M$9,$M123,$N$9,$P123,$Q$9,$S123)))</f>
        <v/>
      </c>
      <c r="Z123" s="255" t="str">
        <f>IF(B123="","",IF(OR(AD123="SINKABLE",AD123="CALL/SINK"),_xll.BDP($B123,Z$9,"fill=b","PRICING_SOURCE",$C$6,$AC123,$M$9,$M123,$N$9,$P123,$Q$10,$S123),_xll.BDP($B123,Z$9,"fill=b","PRICING_SOURCE",$C$6,$AC123,$M$9,$M123,$N$9,$P123,$Q$9,$S123)))</f>
        <v/>
      </c>
      <c r="AA123" s="166" t="str">
        <f>IF(B123="","",IF(OR(AD123="SINKABLE",AD123="CALL/SINK"),_xll.BDP($B123,AA$9,"fill=b","PRICING_SOURCE",$C$6,$AC123,$M$9,$M123,$N$9,$P123,$Q$10,$S123),_xll.BDP($B123,AA$9,"fill=b","PRICING_SOURCE",$C$6,$AC123,$M$9,$M123,$N$9,$P123,$Q$9,$S123)))</f>
        <v/>
      </c>
      <c r="AB123" s="150" t="str">
        <f>IF(B123="","",IF(LEFT(_xll.BDP($B123,AB$9,"fill=b"),1)="#","-",_xll.BDP($B123,AB$9,"fill=b")))</f>
        <v/>
      </c>
      <c r="AC123" s="150" t="str">
        <f t="shared" si="37"/>
        <v>YLD FLAG=2</v>
      </c>
      <c r="AD123" s="150" t="str">
        <f>IF(B123="","",_xll.BDP($B123,AD$9,"fill=b"))</f>
        <v/>
      </c>
      <c r="AE123" s="256" t="str">
        <f>IF(B123="","",IF(ISERROR(_xll.BDH(B123,"PX LAST",AN123,AN123,"DAYS=ALL","PRICING SOURCE",$C$6)*1),_xll.BDP(B123,"PAR AMT"),_xll.BDH(B123,"PX LAST",AN123,AN123,"DAYS=ALL","PRICING SOURCE",$C$6)))</f>
        <v/>
      </c>
      <c r="AF123" s="150" t="str">
        <f>IF(B123="","",_xll.BDP($B123,AF$9,"fill=b"))</f>
        <v/>
      </c>
      <c r="AG123" s="150"/>
      <c r="AH123" s="190" t="str">
        <f>IF(B123="","",IF($AD123="AT MATURITY",$AB123*1,_xll.BADDPERIODS(_xll.BDP($B123,"issue dt"),"numberofperiods",TRUNC(_xll.BDP($B123,"YRS_TO_LONGEST_AVG_LIFE","YLD_YTM_BID",AF123,"SETTLE_DT",U123,AC123),0),"per=y")+(ROUND(MOD(_xll.BDP(B123,"YRS_TO_LONGEST_AVG_LIFE","YLD_YTM_BID",AF123,"SETTLE_DT",U123,AC123),1)*360,0))))</f>
        <v/>
      </c>
      <c r="AI123" s="150" t="str">
        <f t="array" ref="AI123">IF(B123="","",AF123-_xll.BInterpol(_xll.BDP(_xll.BDS("YCGT0372 Index","curve members","CURVE_DATE", $U123,"endcol=1","array=true"),"maturity")*1,_xll.BDH(_xll.BDS("YCGT0372 Index","curve members","CURVE_DATE", $U123,"endcol=1","array=true"),"yld cnv mid",$U123,$U123,"days=all"),AH123,"CUBIC","Extrapolate=LINEAR","SKIP=TRUE","SORT=TRUE","MultiX=Average"))</f>
        <v/>
      </c>
      <c r="AJ123" s="189" t="str">
        <f t="shared" si="31"/>
        <v/>
      </c>
      <c r="AK123" s="257" t="str">
        <f>IF(B123="","",_xll.BDP($B123,AK$9,"fill=b"))</f>
        <v/>
      </c>
      <c r="AL123" s="257" t="str">
        <f>IF(B123="","",_xll.BDP($B123,AL$9,"fill=b"))</f>
        <v/>
      </c>
      <c r="AM123" s="256" t="str">
        <f>IF(B123="","",_xll.BDP($B123,AM$9,"fill=b"))</f>
        <v/>
      </c>
      <c r="AN123" s="150" t="str">
        <f>IF(B123="","",_xll.BDP($B123,AN$9,"fill=b"))</f>
        <v/>
      </c>
      <c r="AO123" s="150" t="str">
        <f>IF(B123="","",IF(LEFT(_xll.BDP($B123,AO$9,"fill=b"),1)="#","-",_xll.BDP($B123,AO$9,"fill=b")))</f>
        <v/>
      </c>
      <c r="AP123" s="150" t="str">
        <f>IF(B123="","",_xll.BDP($B123,AP$9,"fill=b"))</f>
        <v/>
      </c>
      <c r="AQ123" s="150" t="str">
        <f>IF(B123="","",_xll.BDP($B123,AQ$9,"fill=b"))</f>
        <v/>
      </c>
      <c r="AR123" s="150" t="str">
        <f>IF(B123="","",_xll.BDP($B123,AR$9,"fill=b"))</f>
        <v/>
      </c>
      <c r="AS123" s="150" t="str">
        <f>IF(B123="","",_xll.BDP($B123,AS$9,"fill=b"))</f>
        <v/>
      </c>
      <c r="AT123" s="150" t="str">
        <f>IF(B123="","",_xll.BDP($B123,AT$9,"fill=b"))</f>
        <v/>
      </c>
      <c r="AU123" s="258" t="str">
        <f>IF(B123="","",_xll.BDP($B123,AU$9,"fill=b"))</f>
        <v/>
      </c>
    </row>
    <row r="124" spans="2:47" ht="15" x14ac:dyDescent="0.25">
      <c r="B124" s="232"/>
      <c r="C124" s="150" t="str">
        <f>IF(B124="","",_xll.BDP($B124,C$9,"fill=b"))</f>
        <v/>
      </c>
      <c r="D124" s="150" t="str">
        <f>IF(B124="","",_xll.BDP($B124,D$9,"fill=b"))</f>
        <v/>
      </c>
      <c r="E124" s="150" t="str">
        <f>IF(B124="","",_xll.BDP($B124,E$9,"fill=b"))</f>
        <v/>
      </c>
      <c r="F124" s="150" t="str">
        <f>IF(B124="","",IF(LEFT(_xll.BDP($B124,F$9,"fill=b"),1)="#","-",_xll.BDP($B124,F$9,"fill=b")))</f>
        <v/>
      </c>
      <c r="G124" s="150" t="str">
        <f>IF(B124="","",_xll.BDP($B124,G$9,"fill=b"))</f>
        <v/>
      </c>
      <c r="H124" s="150" t="str">
        <f>IF(B124="","",_xll.BDP($B124,H$9,"fill=b"))</f>
        <v/>
      </c>
      <c r="I124" s="150" t="str" cm="1">
        <f t="array" ref="I124">IF(LEFT(_xlfn.SINGLE(_xll.BDP(B124,"REFERENCE_INDEX")),1)="#",IF(LEFT(_xlfn.SINGLE(_xll.BDP(B124, "RESET_IDX"))&amp;" Index",1)="#","",_xlfn.SINGLE(_xll.BDP(B124, "RESET_IDX"))&amp;" Index"),_xll.BDP(B124,"REFERENCE_INDEX"))</f>
        <v/>
      </c>
      <c r="J124" s="150" t="str">
        <f>IF(I124="BZDIOVRA Index",IF(_xll.BDP(B124,"FLT_SPREAD")/100=0,_xll.BDP(B124,"FLT_BENCH_MULTIPLIER"),_xll.BDP(B124,"FLT_SPREAD")/100),"")</f>
        <v/>
      </c>
      <c r="K124" s="150" t="str">
        <f>IF(B124="","",IF(LEFT(_xll.BDP($B124,K$9,"fill=b"),1)="#","-",_xll.BDP($B124,K$9,"fill=b")))</f>
        <v/>
      </c>
      <c r="L124" s="233"/>
      <c r="M124" s="234" t="str">
        <f t="shared" si="25"/>
        <v/>
      </c>
      <c r="N124" s="252" t="str">
        <f>IF(B124="","",IF(R124="",IF(OR(AD124="SINKABLE",AD124="CALL/SINK"),_xll.BDP(B124,$N$9,$M$9,M124,"PRICING SOURCE",$C$6,"FILL=B"),_xll.BDP(B124,$N$9,$M$9,M124,"PRICING SOURCE",$C$6,"FILL=B")),IF(OR(AD124="SINKABLE",AD124="CALL/SINK"),_xll.BDP(B124,$N$9,$Q$10,S124,$M$9,M124,"PRICING SOURCE",$C$6,"FILL=B"),_xll.BDP(B124,$N$9,$Q$9,S124,$M$9,M124,"PRICING SOURCE",$C$6,"FILL=B"))))</f>
        <v/>
      </c>
      <c r="O124" s="235"/>
      <c r="P124" s="236" t="str">
        <f t="shared" si="35"/>
        <v/>
      </c>
      <c r="Q124" s="166" t="str" cm="1">
        <f t="array" ref="Q124">IF(ISERROR((_xlfn.SINGLE(IF(OR(AD124="SINKABLE",AD124="CALL/SINK"),_xll.BDP($B124,$Q$10,"fill=b","PRICING_SOURCE",$C$6,$AC124,$N$9,$P124,$M$9,$M124),_xll.BDP($B124,Q$9,"fill=b","PRICING_SOURCE",$C$6,$AC124,$N$9,$P124,$M$9,$M124))))*1),"",IF(OR(AD124="SINKABLE",AD124="CALL/SINK"),_xll.BDP($B124,$Q$10,"fill=b","PRICING_SOURCE",$C$6,$AC124,$N$9,$P124,$M$9,$M124),_xll.BDP($B124,Q$9,"fill=b","PRICING_SOURCE",$C$6,$AC124,$N$9,$P124,$M$9,$M124)))</f>
        <v/>
      </c>
      <c r="R124" s="237"/>
      <c r="S124" s="238" t="str">
        <f t="shared" si="36"/>
        <v/>
      </c>
      <c r="T124" s="239" t="str" cm="1">
        <f t="array" ref="T124">IF(ISERROR((_xlfn.SINGLE(IF(OR(AD124="SINKABLE",AD124="CALL/SINK"),_xll.BDP($B124,$Q$10,"fill=b","PRICING_SOURCE",$C$6,$AC124,$M$9,$U124,"px ask",$AE124),_xll.BDP($B124,Q$9,"fill=b","PRICING_SOURCE",$C$6,$AC124,$M$9,$U124,"px ask",$AE124))))*1),"",IF(OR(AD124="SINKABLE",AD124="CALL/SINK"),_xll.BDP($B124,$Q$10,"fill=b","PRICING_SOURCE",$C$6,$AC124,$M$9,$U124,"px ask",$AE124),_xll.BDP($B124,Q$9,"fill=b","PRICING_SOURCE",$C$6,$AC124,$M$9,$U124,"px ask",$AE124)))</f>
        <v/>
      </c>
      <c r="U124" s="240" t="str">
        <f t="shared" si="29"/>
        <v/>
      </c>
      <c r="V124" s="254" t="str">
        <f>IF(B124="","",IF(I124="BZDIOVRA Index",IF(OR(AD124="SINKABLE",AD124="CALL/SINK"),_xll.BDP($B124,"PX_ASK",$Q$10,J124,$M$9,M124),_xll.BDP($B124,"PX_"&amp;$H$7,$Q$9,J124,$M$9,M124)),_xll.BDP($B124,"PX_"&amp;$H$7,$Q$9,_xll.BDP(B124,"CPN"),$M$9,M124)))</f>
        <v/>
      </c>
      <c r="W124" s="254" t="str">
        <f t="shared" si="30"/>
        <v/>
      </c>
      <c r="X124" s="166" t="str">
        <f>IF(B124="","",IF(OR(AD124="SINKABLE",AD124="CALL/SINK"),_xll.BDP($B124,X$9,"fill=b","PRICING_SOURCE",$C$6,$AC124,$M$9,$M124,$N$9,$P124,$Q$10,$S124),_xll.BDP($B124,X$9,"fill=b","PRICING_SOURCE",$C$6,$AC124,$M$9,$M124,$N$9,$P124,$Q$9,$S124)))</f>
        <v/>
      </c>
      <c r="Y124" s="166" t="str">
        <f>IF(B124="","",IF(OR(AD124="SINKABLE",AD124="CALL/SINK"),_xll.BDP($B124,Y$9,"fill=b","PRICING_SOURCE",$C$6,$AC124,$M$9,$M124,$N$9,$P124,$Q$10,$S124),_xll.BDP($B124,Y$9,"fill=b","PRICING_SOURCE",$C$6,$AC124,$M$9,$M124,$N$9,$P124,$Q$9,$S124)))</f>
        <v/>
      </c>
      <c r="Z124" s="255" t="str">
        <f>IF(B124="","",IF(OR(AD124="SINKABLE",AD124="CALL/SINK"),_xll.BDP($B124,Z$9,"fill=b","PRICING_SOURCE",$C$6,$AC124,$M$9,$M124,$N$9,$P124,$Q$10,$S124),_xll.BDP($B124,Z$9,"fill=b","PRICING_SOURCE",$C$6,$AC124,$M$9,$M124,$N$9,$P124,$Q$9,$S124)))</f>
        <v/>
      </c>
      <c r="AA124" s="166" t="str">
        <f>IF(B124="","",IF(OR(AD124="SINKABLE",AD124="CALL/SINK"),_xll.BDP($B124,AA$9,"fill=b","PRICING_SOURCE",$C$6,$AC124,$M$9,$M124,$N$9,$P124,$Q$10,$S124),_xll.BDP($B124,AA$9,"fill=b","PRICING_SOURCE",$C$6,$AC124,$M$9,$M124,$N$9,$P124,$Q$9,$S124)))</f>
        <v/>
      </c>
      <c r="AB124" s="150" t="str">
        <f>IF(B124="","",IF(LEFT(_xll.BDP($B124,AB$9,"fill=b"),1)="#","-",_xll.BDP($B124,AB$9,"fill=b")))</f>
        <v/>
      </c>
      <c r="AC124" s="150" t="str">
        <f t="shared" si="37"/>
        <v>YLD FLAG=2</v>
      </c>
      <c r="AD124" s="150" t="str">
        <f>IF(B124="","",_xll.BDP($B124,AD$9,"fill=b"))</f>
        <v/>
      </c>
      <c r="AE124" s="256" t="str">
        <f>IF(B124="","",IF(ISERROR(_xll.BDH(B124,"PX LAST",AN124,AN124,"DAYS=ALL","PRICING SOURCE",$C$6)*1),_xll.BDP(B124,"PAR AMT"),_xll.BDH(B124,"PX LAST",AN124,AN124,"DAYS=ALL","PRICING SOURCE",$C$6)))</f>
        <v/>
      </c>
      <c r="AF124" s="150" t="str">
        <f>IF(B124="","",_xll.BDP($B124,AF$9,"fill=b"))</f>
        <v/>
      </c>
      <c r="AG124" s="150"/>
      <c r="AH124" s="190" t="str">
        <f>IF(B124="","",IF($AD124="AT MATURITY",$AB124*1,_xll.BADDPERIODS(_xll.BDP($B124,"issue dt"),"numberofperiods",TRUNC(_xll.BDP($B124,"YRS_TO_LONGEST_AVG_LIFE","YLD_YTM_BID",AF124,"SETTLE_DT",U124,AC124),0),"per=y")+(ROUND(MOD(_xll.BDP(B124,"YRS_TO_LONGEST_AVG_LIFE","YLD_YTM_BID",AF124,"SETTLE_DT",U124,AC124),1)*360,0))))</f>
        <v/>
      </c>
      <c r="AI124" s="150" t="str">
        <f t="array" ref="AI124">IF(B124="","",AF124-_xll.BInterpol(_xll.BDP(_xll.BDS("YCGT0372 Index","curve members","CURVE_DATE", $U124,"endcol=1","array=true"),"maturity")*1,_xll.BDH(_xll.BDS("YCGT0372 Index","curve members","CURVE_DATE", $U124,"endcol=1","array=true"),"yld cnv mid",$U124,$U124,"days=all"),AH124,"CUBIC","Extrapolate=LINEAR","SKIP=TRUE","SORT=TRUE","MultiX=Average"))</f>
        <v/>
      </c>
      <c r="AJ124" s="189" t="str">
        <f t="shared" si="31"/>
        <v/>
      </c>
      <c r="AK124" s="257" t="str">
        <f>IF(B124="","",_xll.BDP($B124,AK$9,"fill=b"))</f>
        <v/>
      </c>
      <c r="AL124" s="257" t="str">
        <f>IF(B124="","",_xll.BDP($B124,AL$9,"fill=b"))</f>
        <v/>
      </c>
      <c r="AM124" s="256" t="str">
        <f>IF(B124="","",_xll.BDP($B124,AM$9,"fill=b"))</f>
        <v/>
      </c>
      <c r="AN124" s="150" t="str">
        <f>IF(B124="","",_xll.BDP($B124,AN$9,"fill=b"))</f>
        <v/>
      </c>
      <c r="AO124" s="150" t="str">
        <f>IF(B124="","",IF(LEFT(_xll.BDP($B124,AO$9,"fill=b"),1)="#","-",_xll.BDP($B124,AO$9,"fill=b")))</f>
        <v/>
      </c>
      <c r="AP124" s="150" t="str">
        <f>IF(B124="","",_xll.BDP($B124,AP$9,"fill=b"))</f>
        <v/>
      </c>
      <c r="AQ124" s="150" t="str">
        <f>IF(B124="","",_xll.BDP($B124,AQ$9,"fill=b"))</f>
        <v/>
      </c>
      <c r="AR124" s="150" t="str">
        <f>IF(B124="","",_xll.BDP($B124,AR$9,"fill=b"))</f>
        <v/>
      </c>
      <c r="AS124" s="150" t="str">
        <f>IF(B124="","",_xll.BDP($B124,AS$9,"fill=b"))</f>
        <v/>
      </c>
      <c r="AT124" s="150" t="str">
        <f>IF(B124="","",_xll.BDP($B124,AT$9,"fill=b"))</f>
        <v/>
      </c>
      <c r="AU124" s="258" t="str">
        <f>IF(B124="","",_xll.BDP($B124,AU$9,"fill=b"))</f>
        <v/>
      </c>
    </row>
    <row r="125" spans="2:47" ht="15" x14ac:dyDescent="0.25">
      <c r="B125" s="232"/>
      <c r="C125" s="150" t="str">
        <f>IF(B125="","",_xll.BDP($B125,C$9,"fill=b"))</f>
        <v/>
      </c>
      <c r="D125" s="150" t="str">
        <f>IF(B125="","",_xll.BDP($B125,D$9,"fill=b"))</f>
        <v/>
      </c>
      <c r="E125" s="150" t="str">
        <f>IF(B125="","",_xll.BDP($B125,E$9,"fill=b"))</f>
        <v/>
      </c>
      <c r="F125" s="150" t="str">
        <f>IF(B125="","",IF(LEFT(_xll.BDP($B125,F$9,"fill=b"),1)="#","-",_xll.BDP($B125,F$9,"fill=b")))</f>
        <v/>
      </c>
      <c r="G125" s="150" t="str">
        <f>IF(B125="","",_xll.BDP($B125,G$9,"fill=b"))</f>
        <v/>
      </c>
      <c r="H125" s="150" t="str">
        <f>IF(B125="","",_xll.BDP($B125,H$9,"fill=b"))</f>
        <v/>
      </c>
      <c r="I125" s="150" t="str" cm="1">
        <f t="array" ref="I125">IF(LEFT(_xlfn.SINGLE(_xll.BDP(B125,"REFERENCE_INDEX")),1)="#",IF(LEFT(_xlfn.SINGLE(_xll.BDP(B125, "RESET_IDX"))&amp;" Index",1)="#","",_xlfn.SINGLE(_xll.BDP(B125, "RESET_IDX"))&amp;" Index"),_xll.BDP(B125,"REFERENCE_INDEX"))</f>
        <v/>
      </c>
      <c r="J125" s="150" t="str">
        <f>IF(I125="BZDIOVRA Index",IF(_xll.BDP(B125,"FLT_SPREAD")/100=0,_xll.BDP(B125,"FLT_BENCH_MULTIPLIER"),_xll.BDP(B125,"FLT_SPREAD")/100),"")</f>
        <v/>
      </c>
      <c r="K125" s="150" t="str">
        <f>IF(B125="","",IF(LEFT(_xll.BDP($B125,K$9,"fill=b"),1)="#","-",_xll.BDP($B125,K$9,"fill=b")))</f>
        <v/>
      </c>
      <c r="L125" s="233"/>
      <c r="M125" s="234" t="str">
        <f t="shared" si="25"/>
        <v/>
      </c>
      <c r="N125" s="252" t="str">
        <f>IF(B125="","",IF(R125="",IF(OR(AD125="SINKABLE",AD125="CALL/SINK"),_xll.BDP(B125,$N$9,$M$9,M125,"PRICING SOURCE",$C$6,"FILL=B"),_xll.BDP(B125,$N$9,$M$9,M125,"PRICING SOURCE",$C$6,"FILL=B")),IF(OR(AD125="SINKABLE",AD125="CALL/SINK"),_xll.BDP(B125,$N$9,$Q$10,S125,$M$9,M125,"PRICING SOURCE",$C$6,"FILL=B"),_xll.BDP(B125,$N$9,$Q$9,S125,$M$9,M125,"PRICING SOURCE",$C$6,"FILL=B"))))</f>
        <v/>
      </c>
      <c r="O125" s="235"/>
      <c r="P125" s="236" t="str">
        <f t="shared" si="35"/>
        <v/>
      </c>
      <c r="Q125" s="166" t="str" cm="1">
        <f t="array" ref="Q125">IF(ISERROR((_xlfn.SINGLE(IF(OR(AD125="SINKABLE",AD125="CALL/SINK"),_xll.BDP($B125,$Q$10,"fill=b","PRICING_SOURCE",$C$6,$AC125,$N$9,$P125,$M$9,$M125),_xll.BDP($B125,Q$9,"fill=b","PRICING_SOURCE",$C$6,$AC125,$N$9,$P125,$M$9,$M125))))*1),"",IF(OR(AD125="SINKABLE",AD125="CALL/SINK"),_xll.BDP($B125,$Q$10,"fill=b","PRICING_SOURCE",$C$6,$AC125,$N$9,$P125,$M$9,$M125),_xll.BDP($B125,Q$9,"fill=b","PRICING_SOURCE",$C$6,$AC125,$N$9,$P125,$M$9,$M125)))</f>
        <v/>
      </c>
      <c r="R125" s="237"/>
      <c r="S125" s="238" t="str">
        <f t="shared" si="36"/>
        <v/>
      </c>
      <c r="T125" s="239" t="str" cm="1">
        <f t="array" ref="T125">IF(ISERROR((_xlfn.SINGLE(IF(OR(AD125="SINKABLE",AD125="CALL/SINK"),_xll.BDP($B125,$Q$10,"fill=b","PRICING_SOURCE",$C$6,$AC125,$M$9,$U125,"px ask",$AE125),_xll.BDP($B125,Q$9,"fill=b","PRICING_SOURCE",$C$6,$AC125,$M$9,$U125,"px ask",$AE125))))*1),"",IF(OR(AD125="SINKABLE",AD125="CALL/SINK"),_xll.BDP($B125,$Q$10,"fill=b","PRICING_SOURCE",$C$6,$AC125,$M$9,$U125,"px ask",$AE125),_xll.BDP($B125,Q$9,"fill=b","PRICING_SOURCE",$C$6,$AC125,$M$9,$U125,"px ask",$AE125)))</f>
        <v/>
      </c>
      <c r="U125" s="240" t="str">
        <f t="shared" si="29"/>
        <v/>
      </c>
      <c r="V125" s="254" t="str">
        <f>IF(B125="","",IF(I125="BZDIOVRA Index",IF(OR(AD125="SINKABLE",AD125="CALL/SINK"),_xll.BDP($B125,"PX_ASK",$Q$10,J125,$M$9,M125),_xll.BDP($B125,"PX_"&amp;$H$7,$Q$9,J125,$M$9,M125)),_xll.BDP($B125,"PX_"&amp;$H$7,$Q$9,_xll.BDP(B125,"CPN"),$M$9,M125)))</f>
        <v/>
      </c>
      <c r="W125" s="254" t="str">
        <f t="shared" si="30"/>
        <v/>
      </c>
      <c r="X125" s="166" t="str">
        <f>IF(B125="","",IF(OR(AD125="SINKABLE",AD125="CALL/SINK"),_xll.BDP($B125,X$9,"fill=b","PRICING_SOURCE",$C$6,$AC125,$M$9,$M125,$N$9,$P125,$Q$10,$S125),_xll.BDP($B125,X$9,"fill=b","PRICING_SOURCE",$C$6,$AC125,$M$9,$M125,$N$9,$P125,$Q$9,$S125)))</f>
        <v/>
      </c>
      <c r="Y125" s="166" t="str">
        <f>IF(B125="","",IF(OR(AD125="SINKABLE",AD125="CALL/SINK"),_xll.BDP($B125,Y$9,"fill=b","PRICING_SOURCE",$C$6,$AC125,$M$9,$M125,$N$9,$P125,$Q$10,$S125),_xll.BDP($B125,Y$9,"fill=b","PRICING_SOURCE",$C$6,$AC125,$M$9,$M125,$N$9,$P125,$Q$9,$S125)))</f>
        <v/>
      </c>
      <c r="Z125" s="255" t="str">
        <f>IF(B125="","",IF(OR(AD125="SINKABLE",AD125="CALL/SINK"),_xll.BDP($B125,Z$9,"fill=b","PRICING_SOURCE",$C$6,$AC125,$M$9,$M125,$N$9,$P125,$Q$10,$S125),_xll.BDP($B125,Z$9,"fill=b","PRICING_SOURCE",$C$6,$AC125,$M$9,$M125,$N$9,$P125,$Q$9,$S125)))</f>
        <v/>
      </c>
      <c r="AA125" s="166" t="str">
        <f>IF(B125="","",IF(OR(AD125="SINKABLE",AD125="CALL/SINK"),_xll.BDP($B125,AA$9,"fill=b","PRICING_SOURCE",$C$6,$AC125,$M$9,$M125,$N$9,$P125,$Q$10,$S125),_xll.BDP($B125,AA$9,"fill=b","PRICING_SOURCE",$C$6,$AC125,$M$9,$M125,$N$9,$P125,$Q$9,$S125)))</f>
        <v/>
      </c>
      <c r="AB125" s="150" t="str">
        <f>IF(B125="","",IF(LEFT(_xll.BDP($B125,AB$9,"fill=b"),1)="#","-",_xll.BDP($B125,AB$9,"fill=b")))</f>
        <v/>
      </c>
      <c r="AC125" s="150" t="str">
        <f t="shared" si="37"/>
        <v>YLD FLAG=2</v>
      </c>
      <c r="AD125" s="150" t="str">
        <f>IF(B125="","",_xll.BDP($B125,AD$9,"fill=b"))</f>
        <v/>
      </c>
      <c r="AE125" s="256" t="str">
        <f>IF(B125="","",IF(ISERROR(_xll.BDH(B125,"PX LAST",AN125,AN125,"DAYS=ALL","PRICING SOURCE",$C$6)*1),_xll.BDP(B125,"PAR AMT"),_xll.BDH(B125,"PX LAST",AN125,AN125,"DAYS=ALL","PRICING SOURCE",$C$6)))</f>
        <v/>
      </c>
      <c r="AF125" s="150" t="str">
        <f>IF(B125="","",_xll.BDP($B125,AF$9,"fill=b"))</f>
        <v/>
      </c>
      <c r="AG125" s="150"/>
      <c r="AH125" s="190" t="str">
        <f>IF(B125="","",IF($AD125="AT MATURITY",$AB125*1,_xll.BADDPERIODS(_xll.BDP($B125,"issue dt"),"numberofperiods",TRUNC(_xll.BDP($B125,"YRS_TO_LONGEST_AVG_LIFE","YLD_YTM_BID",AF125,"SETTLE_DT",U125,AC125),0),"per=y")+(ROUND(MOD(_xll.BDP(B125,"YRS_TO_LONGEST_AVG_LIFE","YLD_YTM_BID",AF125,"SETTLE_DT",U125,AC125),1)*360,0))))</f>
        <v/>
      </c>
      <c r="AI125" s="150" t="str">
        <f t="array" ref="AI125">IF(B125="","",AF125-_xll.BInterpol(_xll.BDP(_xll.BDS("YCGT0372 Index","curve members","CURVE_DATE", $U125,"endcol=1","array=true"),"maturity")*1,_xll.BDH(_xll.BDS("YCGT0372 Index","curve members","CURVE_DATE", $U125,"endcol=1","array=true"),"yld cnv mid",$U125,$U125,"days=all"),AH125,"CUBIC","Extrapolate=LINEAR","SKIP=TRUE","SORT=TRUE","MultiX=Average"))</f>
        <v/>
      </c>
      <c r="AJ125" s="189" t="str">
        <f t="shared" si="31"/>
        <v/>
      </c>
      <c r="AK125" s="257" t="str">
        <f>IF(B125="","",_xll.BDP($B125,AK$9,"fill=b"))</f>
        <v/>
      </c>
      <c r="AL125" s="257" t="str">
        <f>IF(B125="","",_xll.BDP($B125,AL$9,"fill=b"))</f>
        <v/>
      </c>
      <c r="AM125" s="256" t="str">
        <f>IF(B125="","",_xll.BDP($B125,AM$9,"fill=b"))</f>
        <v/>
      </c>
      <c r="AN125" s="150" t="str">
        <f>IF(B125="","",_xll.BDP($B125,AN$9,"fill=b"))</f>
        <v/>
      </c>
      <c r="AO125" s="150" t="str">
        <f>IF(B125="","",IF(LEFT(_xll.BDP($B125,AO$9,"fill=b"),1)="#","-",_xll.BDP($B125,AO$9,"fill=b")))</f>
        <v/>
      </c>
      <c r="AP125" s="150" t="str">
        <f>IF(B125="","",_xll.BDP($B125,AP$9,"fill=b"))</f>
        <v/>
      </c>
      <c r="AQ125" s="150" t="str">
        <f>IF(B125="","",_xll.BDP($B125,AQ$9,"fill=b"))</f>
        <v/>
      </c>
      <c r="AR125" s="150" t="str">
        <f>IF(B125="","",_xll.BDP($B125,AR$9,"fill=b"))</f>
        <v/>
      </c>
      <c r="AS125" s="150" t="str">
        <f>IF(B125="","",_xll.BDP($B125,AS$9,"fill=b"))</f>
        <v/>
      </c>
      <c r="AT125" s="150" t="str">
        <f>IF(B125="","",_xll.BDP($B125,AT$9,"fill=b"))</f>
        <v/>
      </c>
      <c r="AU125" s="258" t="str">
        <f>IF(B125="","",_xll.BDP($B125,AU$9,"fill=b"))</f>
        <v/>
      </c>
    </row>
    <row r="126" spans="2:47" ht="15" x14ac:dyDescent="0.25">
      <c r="B126" s="232"/>
      <c r="C126" s="150" t="str">
        <f>IF(B126="","",_xll.BDP($B126,C$9,"fill=b"))</f>
        <v/>
      </c>
      <c r="D126" s="150" t="str">
        <f>IF(B126="","",_xll.BDP($B126,D$9,"fill=b"))</f>
        <v/>
      </c>
      <c r="E126" s="150" t="str">
        <f>IF(B126="","",_xll.BDP($B126,E$9,"fill=b"))</f>
        <v/>
      </c>
      <c r="F126" s="150" t="str">
        <f>IF(B126="","",IF(LEFT(_xll.BDP($B126,F$9,"fill=b"),1)="#","-",_xll.BDP($B126,F$9,"fill=b")))</f>
        <v/>
      </c>
      <c r="G126" s="150" t="str">
        <f>IF(B126="","",_xll.BDP($B126,G$9,"fill=b"))</f>
        <v/>
      </c>
      <c r="H126" s="150" t="str">
        <f>IF(B126="","",_xll.BDP($B126,H$9,"fill=b"))</f>
        <v/>
      </c>
      <c r="I126" s="150" t="str" cm="1">
        <f t="array" ref="I126">IF(LEFT(_xlfn.SINGLE(_xll.BDP(B126,"REFERENCE_INDEX")),1)="#",IF(LEFT(_xlfn.SINGLE(_xll.BDP(B126, "RESET_IDX"))&amp;" Index",1)="#","",_xlfn.SINGLE(_xll.BDP(B126, "RESET_IDX"))&amp;" Index"),_xll.BDP(B126,"REFERENCE_INDEX"))</f>
        <v/>
      </c>
      <c r="J126" s="150" t="str">
        <f>IF(I126="BZDIOVRA Index",IF(_xll.BDP(B126,"FLT_SPREAD")/100=0,_xll.BDP(B126,"FLT_BENCH_MULTIPLIER"),_xll.BDP(B126,"FLT_SPREAD")/100),"")</f>
        <v/>
      </c>
      <c r="K126" s="150" t="str">
        <f>IF(B126="","",IF(LEFT(_xll.BDP($B126,K$9,"fill=b"),1)="#","-",_xll.BDP($B126,K$9,"fill=b")))</f>
        <v/>
      </c>
      <c r="L126" s="233"/>
      <c r="M126" s="234" t="str">
        <f t="shared" si="25"/>
        <v/>
      </c>
      <c r="N126" s="252" t="str">
        <f>IF(B126="","",IF(R126="",IF(OR(AD126="SINKABLE",AD126="CALL/SINK"),_xll.BDP(B126,$N$9,$M$9,M126,"PRICING SOURCE",$C$6,"FILL=B"),_xll.BDP(B126,$N$9,$M$9,M126,"PRICING SOURCE",$C$6,"FILL=B")),IF(OR(AD126="SINKABLE",AD126="CALL/SINK"),_xll.BDP(B126,$N$9,$Q$10,S126,$M$9,M126,"PRICING SOURCE",$C$6,"FILL=B"),_xll.BDP(B126,$N$9,$Q$9,S126,$M$9,M126,"PRICING SOURCE",$C$6,"FILL=B"))))</f>
        <v/>
      </c>
      <c r="O126" s="235"/>
      <c r="P126" s="236" t="str">
        <f t="shared" si="35"/>
        <v/>
      </c>
      <c r="Q126" s="166" t="str" cm="1">
        <f t="array" ref="Q126">IF(ISERROR((_xlfn.SINGLE(IF(OR(AD126="SINKABLE",AD126="CALL/SINK"),_xll.BDP($B126,$Q$10,"fill=b","PRICING_SOURCE",$C$6,$AC126,$N$9,$P126,$M$9,$M126),_xll.BDP($B126,Q$9,"fill=b","PRICING_SOURCE",$C$6,$AC126,$N$9,$P126,$M$9,$M126))))*1),"",IF(OR(AD126="SINKABLE",AD126="CALL/SINK"),_xll.BDP($B126,$Q$10,"fill=b","PRICING_SOURCE",$C$6,$AC126,$N$9,$P126,$M$9,$M126),_xll.BDP($B126,Q$9,"fill=b","PRICING_SOURCE",$C$6,$AC126,$N$9,$P126,$M$9,$M126)))</f>
        <v/>
      </c>
      <c r="R126" s="237"/>
      <c r="S126" s="238" t="str">
        <f t="shared" si="36"/>
        <v/>
      </c>
      <c r="T126" s="239" t="str" cm="1">
        <f t="array" ref="T126">IF(ISERROR((_xlfn.SINGLE(IF(OR(AD126="SINKABLE",AD126="CALL/SINK"),_xll.BDP($B126,$Q$10,"fill=b","PRICING_SOURCE",$C$6,$AC126,$M$9,$U126,"px ask",$AE126),_xll.BDP($B126,Q$9,"fill=b","PRICING_SOURCE",$C$6,$AC126,$M$9,$U126,"px ask",$AE126))))*1),"",IF(OR(AD126="SINKABLE",AD126="CALL/SINK"),_xll.BDP($B126,$Q$10,"fill=b","PRICING_SOURCE",$C$6,$AC126,$M$9,$U126,"px ask",$AE126),_xll.BDP($B126,Q$9,"fill=b","PRICING_SOURCE",$C$6,$AC126,$M$9,$U126,"px ask",$AE126)))</f>
        <v/>
      </c>
      <c r="U126" s="240" t="str">
        <f t="shared" si="29"/>
        <v/>
      </c>
      <c r="V126" s="254" t="str">
        <f>IF(B126="","",IF(I126="BZDIOVRA Index",IF(OR(AD126="SINKABLE",AD126="CALL/SINK"),_xll.BDP($B126,"PX_ASK",$Q$10,J126,$M$9,M126),_xll.BDP($B126,"PX_"&amp;$H$7,$Q$9,J126,$M$9,M126)),_xll.BDP($B126,"PX_"&amp;$H$7,$Q$9,_xll.BDP(B126,"CPN"),$M$9,M126)))</f>
        <v/>
      </c>
      <c r="W126" s="254" t="str">
        <f t="shared" si="30"/>
        <v/>
      </c>
      <c r="X126" s="166" t="str">
        <f>IF(B126="","",IF(OR(AD126="SINKABLE",AD126="CALL/SINK"),_xll.BDP($B126,X$9,"fill=b","PRICING_SOURCE",$C$6,$AC126,$M$9,$M126,$N$9,$P126,$Q$10,$S126),_xll.BDP($B126,X$9,"fill=b","PRICING_SOURCE",$C$6,$AC126,$M$9,$M126,$N$9,$P126,$Q$9,$S126)))</f>
        <v/>
      </c>
      <c r="Y126" s="166" t="str">
        <f>IF(B126="","",IF(OR(AD126="SINKABLE",AD126="CALL/SINK"),_xll.BDP($B126,Y$9,"fill=b","PRICING_SOURCE",$C$6,$AC126,$M$9,$M126,$N$9,$P126,$Q$10,$S126),_xll.BDP($B126,Y$9,"fill=b","PRICING_SOURCE",$C$6,$AC126,$M$9,$M126,$N$9,$P126,$Q$9,$S126)))</f>
        <v/>
      </c>
      <c r="Z126" s="255" t="str">
        <f>IF(B126="","",IF(OR(AD126="SINKABLE",AD126="CALL/SINK"),_xll.BDP($B126,Z$9,"fill=b","PRICING_SOURCE",$C$6,$AC126,$M$9,$M126,$N$9,$P126,$Q$10,$S126),_xll.BDP($B126,Z$9,"fill=b","PRICING_SOURCE",$C$6,$AC126,$M$9,$M126,$N$9,$P126,$Q$9,$S126)))</f>
        <v/>
      </c>
      <c r="AA126" s="166" t="str">
        <f>IF(B126="","",IF(OR(AD126="SINKABLE",AD126="CALL/SINK"),_xll.BDP($B126,AA$9,"fill=b","PRICING_SOURCE",$C$6,$AC126,$M$9,$M126,$N$9,$P126,$Q$10,$S126),_xll.BDP($B126,AA$9,"fill=b","PRICING_SOURCE",$C$6,$AC126,$M$9,$M126,$N$9,$P126,$Q$9,$S126)))</f>
        <v/>
      </c>
      <c r="AB126" s="150" t="str">
        <f>IF(B126="","",IF(LEFT(_xll.BDP($B126,AB$9,"fill=b"),1)="#","-",_xll.BDP($B126,AB$9,"fill=b")))</f>
        <v/>
      </c>
      <c r="AC126" s="150" t="str">
        <f t="shared" si="37"/>
        <v>YLD FLAG=2</v>
      </c>
      <c r="AD126" s="150" t="str">
        <f>IF(B126="","",_xll.BDP($B126,AD$9,"fill=b"))</f>
        <v/>
      </c>
      <c r="AE126" s="256" t="str">
        <f>IF(B126="","",IF(ISERROR(_xll.BDH(B126,"PX LAST",AN126,AN126,"DAYS=ALL","PRICING SOURCE",$C$6)*1),_xll.BDP(B126,"PAR AMT"),_xll.BDH(B126,"PX LAST",AN126,AN126,"DAYS=ALL","PRICING SOURCE",$C$6)))</f>
        <v/>
      </c>
      <c r="AF126" s="150" t="str">
        <f>IF(B126="","",_xll.BDP($B126,AF$9,"fill=b"))</f>
        <v/>
      </c>
      <c r="AG126" s="150"/>
      <c r="AH126" s="190" t="str">
        <f>IF(B126="","",IF($AD126="AT MATURITY",$AB126*1,_xll.BADDPERIODS(_xll.BDP($B126,"issue dt"),"numberofperiods",TRUNC(_xll.BDP($B126,"YRS_TO_LONGEST_AVG_LIFE","YLD_YTM_BID",AF126,"SETTLE_DT",U126,AC126),0),"per=y")+(ROUND(MOD(_xll.BDP(B126,"YRS_TO_LONGEST_AVG_LIFE","YLD_YTM_BID",AF126,"SETTLE_DT",U126,AC126),1)*360,0))))</f>
        <v/>
      </c>
      <c r="AI126" s="150" t="str">
        <f t="array" ref="AI126">IF(B126="","",AF126-_xll.BInterpol(_xll.BDP(_xll.BDS("YCGT0372 Index","curve members","CURVE_DATE", $U126,"endcol=1","array=true"),"maturity")*1,_xll.BDH(_xll.BDS("YCGT0372 Index","curve members","CURVE_DATE", $U126,"endcol=1","array=true"),"yld cnv mid",$U126,$U126,"days=all"),AH126,"CUBIC","Extrapolate=LINEAR","SKIP=TRUE","SORT=TRUE","MultiX=Average"))</f>
        <v/>
      </c>
      <c r="AJ126" s="189" t="str">
        <f t="shared" si="31"/>
        <v/>
      </c>
      <c r="AK126" s="257" t="str">
        <f>IF(B126="","",_xll.BDP($B126,AK$9,"fill=b"))</f>
        <v/>
      </c>
      <c r="AL126" s="257" t="str">
        <f>IF(B126="","",_xll.BDP($B126,AL$9,"fill=b"))</f>
        <v/>
      </c>
      <c r="AM126" s="256" t="str">
        <f>IF(B126="","",_xll.BDP($B126,AM$9,"fill=b"))</f>
        <v/>
      </c>
      <c r="AN126" s="150" t="str">
        <f>IF(B126="","",_xll.BDP($B126,AN$9,"fill=b"))</f>
        <v/>
      </c>
      <c r="AO126" s="150" t="str">
        <f>IF(B126="","",IF(LEFT(_xll.BDP($B126,AO$9,"fill=b"),1)="#","-",_xll.BDP($B126,AO$9,"fill=b")))</f>
        <v/>
      </c>
      <c r="AP126" s="150" t="str">
        <f>IF(B126="","",_xll.BDP($B126,AP$9,"fill=b"))</f>
        <v/>
      </c>
      <c r="AQ126" s="150" t="str">
        <f>IF(B126="","",_xll.BDP($B126,AQ$9,"fill=b"))</f>
        <v/>
      </c>
      <c r="AR126" s="150" t="str">
        <f>IF(B126="","",_xll.BDP($B126,AR$9,"fill=b"))</f>
        <v/>
      </c>
      <c r="AS126" s="150" t="str">
        <f>IF(B126="","",_xll.BDP($B126,AS$9,"fill=b"))</f>
        <v/>
      </c>
      <c r="AT126" s="150" t="str">
        <f>IF(B126="","",_xll.BDP($B126,AT$9,"fill=b"))</f>
        <v/>
      </c>
      <c r="AU126" s="258" t="str">
        <f>IF(B126="","",_xll.BDP($B126,AU$9,"fill=b"))</f>
        <v/>
      </c>
    </row>
    <row r="127" spans="2:47" ht="15" x14ac:dyDescent="0.25">
      <c r="B127" s="232"/>
      <c r="C127" s="150" t="str">
        <f>IF(B127="","",_xll.BDP($B127,C$9,"fill=b"))</f>
        <v/>
      </c>
      <c r="D127" s="150" t="str">
        <f>IF(B127="","",_xll.BDP($B127,D$9,"fill=b"))</f>
        <v/>
      </c>
      <c r="E127" s="150" t="str">
        <f>IF(B127="","",_xll.BDP($B127,E$9,"fill=b"))</f>
        <v/>
      </c>
      <c r="F127" s="150" t="str">
        <f>IF(B127="","",IF(LEFT(_xll.BDP($B127,F$9,"fill=b"),1)="#","-",_xll.BDP($B127,F$9,"fill=b")))</f>
        <v/>
      </c>
      <c r="G127" s="150" t="str">
        <f>IF(B127="","",_xll.BDP($B127,G$9,"fill=b"))</f>
        <v/>
      </c>
      <c r="H127" s="150" t="str">
        <f>IF(B127="","",_xll.BDP($B127,H$9,"fill=b"))</f>
        <v/>
      </c>
      <c r="I127" s="150" t="str" cm="1">
        <f t="array" ref="I127">IF(LEFT(_xlfn.SINGLE(_xll.BDP(B127,"REFERENCE_INDEX")),1)="#",IF(LEFT(_xlfn.SINGLE(_xll.BDP(B127, "RESET_IDX"))&amp;" Index",1)="#","",_xlfn.SINGLE(_xll.BDP(B127, "RESET_IDX"))&amp;" Index"),_xll.BDP(B127,"REFERENCE_INDEX"))</f>
        <v/>
      </c>
      <c r="J127" s="150" t="str">
        <f>IF(I127="BZDIOVRA Index",IF(_xll.BDP(B127,"FLT_SPREAD")/100=0,_xll.BDP(B127,"FLT_BENCH_MULTIPLIER"),_xll.BDP(B127,"FLT_SPREAD")/100),"")</f>
        <v/>
      </c>
      <c r="K127" s="150" t="str">
        <f>IF(B127="","",IF(LEFT(_xll.BDP($B127,K$9,"fill=b"),1)="#","-",_xll.BDP($B127,K$9,"fill=b")))</f>
        <v/>
      </c>
      <c r="L127" s="233"/>
      <c r="M127" s="234" t="str">
        <f t="shared" si="25"/>
        <v/>
      </c>
      <c r="N127" s="252" t="str">
        <f>IF(B127="","",IF(R127="",IF(OR(AD127="SINKABLE",AD127="CALL/SINK"),_xll.BDP(B127,$N$9,$M$9,M127,"PRICING SOURCE",$C$6,"FILL=B"),_xll.BDP(B127,$N$9,$M$9,M127,"PRICING SOURCE",$C$6,"FILL=B")),IF(OR(AD127="SINKABLE",AD127="CALL/SINK"),_xll.BDP(B127,$N$9,$Q$10,S127,$M$9,M127,"PRICING SOURCE",$C$6,"FILL=B"),_xll.BDP(B127,$N$9,$Q$9,S127,$M$9,M127,"PRICING SOURCE",$C$6,"FILL=B"))))</f>
        <v/>
      </c>
      <c r="O127" s="235"/>
      <c r="P127" s="236" t="str">
        <f t="shared" si="35"/>
        <v/>
      </c>
      <c r="Q127" s="166" t="str" cm="1">
        <f t="array" ref="Q127">IF(ISERROR((_xlfn.SINGLE(IF(OR(AD127="SINKABLE",AD127="CALL/SINK"),_xll.BDP($B127,$Q$10,"fill=b","PRICING_SOURCE",$C$6,$AC127,$N$9,$P127,$M$9,$M127),_xll.BDP($B127,Q$9,"fill=b","PRICING_SOURCE",$C$6,$AC127,$N$9,$P127,$M$9,$M127))))*1),"",IF(OR(AD127="SINKABLE",AD127="CALL/SINK"),_xll.BDP($B127,$Q$10,"fill=b","PRICING_SOURCE",$C$6,$AC127,$N$9,$P127,$M$9,$M127),_xll.BDP($B127,Q$9,"fill=b","PRICING_SOURCE",$C$6,$AC127,$N$9,$P127,$M$9,$M127)))</f>
        <v/>
      </c>
      <c r="R127" s="237"/>
      <c r="S127" s="238" t="str">
        <f t="shared" si="36"/>
        <v/>
      </c>
      <c r="T127" s="239" t="str" cm="1">
        <f t="array" ref="T127">IF(ISERROR((_xlfn.SINGLE(IF(OR(AD127="SINKABLE",AD127="CALL/SINK"),_xll.BDP($B127,$Q$10,"fill=b","PRICING_SOURCE",$C$6,$AC127,$M$9,$U127,"px ask",$AE127),_xll.BDP($B127,Q$9,"fill=b","PRICING_SOURCE",$C$6,$AC127,$M$9,$U127,"px ask",$AE127))))*1),"",IF(OR(AD127="SINKABLE",AD127="CALL/SINK"),_xll.BDP($B127,$Q$10,"fill=b","PRICING_SOURCE",$C$6,$AC127,$M$9,$U127,"px ask",$AE127),_xll.BDP($B127,Q$9,"fill=b","PRICING_SOURCE",$C$6,$AC127,$M$9,$U127,"px ask",$AE127)))</f>
        <v/>
      </c>
      <c r="U127" s="240" t="str">
        <f t="shared" si="29"/>
        <v/>
      </c>
      <c r="V127" s="254" t="str">
        <f>IF(B127="","",IF(I127="BZDIOVRA Index",IF(OR(AD127="SINKABLE",AD127="CALL/SINK"),_xll.BDP($B127,"PX_ASK",$Q$10,J127,$M$9,M127),_xll.BDP($B127,"PX_"&amp;$H$7,$Q$9,J127,$M$9,M127)),_xll.BDP($B127,"PX_"&amp;$H$7,$Q$9,_xll.BDP(B127,"CPN"),$M$9,M127)))</f>
        <v/>
      </c>
      <c r="W127" s="254" t="str">
        <f t="shared" si="30"/>
        <v/>
      </c>
      <c r="X127" s="166" t="str">
        <f>IF(B127="","",IF(OR(AD127="SINKABLE",AD127="CALL/SINK"),_xll.BDP($B127,X$9,"fill=b","PRICING_SOURCE",$C$6,$AC127,$M$9,$M127,$N$9,$P127,$Q$10,$S127),_xll.BDP($B127,X$9,"fill=b","PRICING_SOURCE",$C$6,$AC127,$M$9,$M127,$N$9,$P127,$Q$9,$S127)))</f>
        <v/>
      </c>
      <c r="Y127" s="166" t="str">
        <f>IF(B127="","",IF(OR(AD127="SINKABLE",AD127="CALL/SINK"),_xll.BDP($B127,Y$9,"fill=b","PRICING_SOURCE",$C$6,$AC127,$M$9,$M127,$N$9,$P127,$Q$10,$S127),_xll.BDP($B127,Y$9,"fill=b","PRICING_SOURCE",$C$6,$AC127,$M$9,$M127,$N$9,$P127,$Q$9,$S127)))</f>
        <v/>
      </c>
      <c r="Z127" s="255" t="str">
        <f>IF(B127="","",IF(OR(AD127="SINKABLE",AD127="CALL/SINK"),_xll.BDP($B127,Z$9,"fill=b","PRICING_SOURCE",$C$6,$AC127,$M$9,$M127,$N$9,$P127,$Q$10,$S127),_xll.BDP($B127,Z$9,"fill=b","PRICING_SOURCE",$C$6,$AC127,$M$9,$M127,$N$9,$P127,$Q$9,$S127)))</f>
        <v/>
      </c>
      <c r="AA127" s="166" t="str">
        <f>IF(B127="","",IF(OR(AD127="SINKABLE",AD127="CALL/SINK"),_xll.BDP($B127,AA$9,"fill=b","PRICING_SOURCE",$C$6,$AC127,$M$9,$M127,$N$9,$P127,$Q$10,$S127),_xll.BDP($B127,AA$9,"fill=b","PRICING_SOURCE",$C$6,$AC127,$M$9,$M127,$N$9,$P127,$Q$9,$S127)))</f>
        <v/>
      </c>
      <c r="AB127" s="150" t="str">
        <f>IF(B127="","",IF(LEFT(_xll.BDP($B127,AB$9,"fill=b"),1)="#","-",_xll.BDP($B127,AB$9,"fill=b")))</f>
        <v/>
      </c>
      <c r="AC127" s="150" t="str">
        <f t="shared" si="37"/>
        <v>YLD FLAG=2</v>
      </c>
      <c r="AD127" s="150" t="str">
        <f>IF(B127="","",_xll.BDP($B127,AD$9,"fill=b"))</f>
        <v/>
      </c>
      <c r="AE127" s="256" t="str">
        <f>IF(B127="","",IF(ISERROR(_xll.BDH(B127,"PX LAST",AN127,AN127,"DAYS=ALL","PRICING SOURCE",$C$6)*1),_xll.BDP(B127,"PAR AMT"),_xll.BDH(B127,"PX LAST",AN127,AN127,"DAYS=ALL","PRICING SOURCE",$C$6)))</f>
        <v/>
      </c>
      <c r="AF127" s="150" t="str">
        <f>IF(B127="","",_xll.BDP($B127,AF$9,"fill=b"))</f>
        <v/>
      </c>
      <c r="AG127" s="150"/>
      <c r="AH127" s="190" t="str">
        <f>IF(B127="","",IF($AD127="AT MATURITY",$AB127*1,_xll.BADDPERIODS(_xll.BDP($B127,"issue dt"),"numberofperiods",TRUNC(_xll.BDP($B127,"YRS_TO_LONGEST_AVG_LIFE","YLD_YTM_BID",AF127,"SETTLE_DT",U127,AC127),0),"per=y")+(ROUND(MOD(_xll.BDP(B127,"YRS_TO_LONGEST_AVG_LIFE","YLD_YTM_BID",AF127,"SETTLE_DT",U127,AC127),1)*360,0))))</f>
        <v/>
      </c>
      <c r="AI127" s="150" t="str">
        <f t="array" ref="AI127">IF(B127="","",AF127-_xll.BInterpol(_xll.BDP(_xll.BDS("YCGT0372 Index","curve members","CURVE_DATE", $U127,"endcol=1","array=true"),"maturity")*1,_xll.BDH(_xll.BDS("YCGT0372 Index","curve members","CURVE_DATE", $U127,"endcol=1","array=true"),"yld cnv mid",$U127,$U127,"days=all"),AH127,"CUBIC","Extrapolate=LINEAR","SKIP=TRUE","SORT=TRUE","MultiX=Average"))</f>
        <v/>
      </c>
      <c r="AJ127" s="189" t="str">
        <f t="shared" si="31"/>
        <v/>
      </c>
      <c r="AK127" s="257" t="str">
        <f>IF(B127="","",_xll.BDP($B127,AK$9,"fill=b"))</f>
        <v/>
      </c>
      <c r="AL127" s="257" t="str">
        <f>IF(B127="","",_xll.BDP($B127,AL$9,"fill=b"))</f>
        <v/>
      </c>
      <c r="AM127" s="256" t="str">
        <f>IF(B127="","",_xll.BDP($B127,AM$9,"fill=b"))</f>
        <v/>
      </c>
      <c r="AN127" s="150" t="str">
        <f>IF(B127="","",_xll.BDP($B127,AN$9,"fill=b"))</f>
        <v/>
      </c>
      <c r="AO127" s="150" t="str">
        <f>IF(B127="","",IF(LEFT(_xll.BDP($B127,AO$9,"fill=b"),1)="#","-",_xll.BDP($B127,AO$9,"fill=b")))</f>
        <v/>
      </c>
      <c r="AP127" s="150" t="str">
        <f>IF(B127="","",_xll.BDP($B127,AP$9,"fill=b"))</f>
        <v/>
      </c>
      <c r="AQ127" s="150" t="str">
        <f>IF(B127="","",_xll.BDP($B127,AQ$9,"fill=b"))</f>
        <v/>
      </c>
      <c r="AR127" s="150" t="str">
        <f>IF(B127="","",_xll.BDP($B127,AR$9,"fill=b"))</f>
        <v/>
      </c>
      <c r="AS127" s="150" t="str">
        <f>IF(B127="","",_xll.BDP($B127,AS$9,"fill=b"))</f>
        <v/>
      </c>
      <c r="AT127" s="150" t="str">
        <f>IF(B127="","",_xll.BDP($B127,AT$9,"fill=b"))</f>
        <v/>
      </c>
      <c r="AU127" s="258" t="str">
        <f>IF(B127="","",_xll.BDP($B127,AU$9,"fill=b"))</f>
        <v/>
      </c>
    </row>
    <row r="128" spans="2:47" ht="15" x14ac:dyDescent="0.25">
      <c r="B128" s="232"/>
      <c r="C128" s="150" t="str">
        <f>IF(B128="","",_xll.BDP($B128,C$9,"fill=b"))</f>
        <v/>
      </c>
      <c r="D128" s="150" t="str">
        <f>IF(B128="","",_xll.BDP($B128,D$9,"fill=b"))</f>
        <v/>
      </c>
      <c r="E128" s="150" t="str">
        <f>IF(B128="","",_xll.BDP($B128,E$9,"fill=b"))</f>
        <v/>
      </c>
      <c r="F128" s="150" t="str">
        <f>IF(B128="","",IF(LEFT(_xll.BDP($B128,F$9,"fill=b"),1)="#","-",_xll.BDP($B128,F$9,"fill=b")))</f>
        <v/>
      </c>
      <c r="G128" s="150" t="str">
        <f>IF(B128="","",_xll.BDP($B128,G$9,"fill=b"))</f>
        <v/>
      </c>
      <c r="H128" s="150" t="str">
        <f>IF(B128="","",_xll.BDP($B128,H$9,"fill=b"))</f>
        <v/>
      </c>
      <c r="I128" s="150" t="str" cm="1">
        <f t="array" ref="I128">IF(LEFT(_xlfn.SINGLE(_xll.BDP(B128,"REFERENCE_INDEX")),1)="#",IF(LEFT(_xlfn.SINGLE(_xll.BDP(B128, "RESET_IDX"))&amp;" Index",1)="#","",_xlfn.SINGLE(_xll.BDP(B128, "RESET_IDX"))&amp;" Index"),_xll.BDP(B128,"REFERENCE_INDEX"))</f>
        <v/>
      </c>
      <c r="J128" s="150" t="str">
        <f>IF(I128="BZDIOVRA Index",IF(_xll.BDP(B128,"FLT_SPREAD")/100=0,_xll.BDP(B128,"FLT_BENCH_MULTIPLIER"),_xll.BDP(B128,"FLT_SPREAD")/100),"")</f>
        <v/>
      </c>
      <c r="K128" s="150" t="str">
        <f>IF(B128="","",IF(LEFT(_xll.BDP($B128,K$9,"fill=b"),1)="#","-",_xll.BDP($B128,K$9,"fill=b")))</f>
        <v/>
      </c>
      <c r="L128" s="233"/>
      <c r="M128" s="234" t="str">
        <f t="shared" si="25"/>
        <v/>
      </c>
      <c r="N128" s="252" t="str">
        <f>IF(B128="","",IF(R128="",IF(OR(AD128="SINKABLE",AD128="CALL/SINK"),_xll.BDP(B128,$N$9,$M$9,M128,"PRICING SOURCE",$C$6,"FILL=B"),_xll.BDP(B128,$N$9,$M$9,M128,"PRICING SOURCE",$C$6,"FILL=B")),IF(OR(AD128="SINKABLE",AD128="CALL/SINK"),_xll.BDP(B128,$N$9,$Q$10,S128,$M$9,M128,"PRICING SOURCE",$C$6,"FILL=B"),_xll.BDP(B128,$N$9,$Q$9,S128,$M$9,M128,"PRICING SOURCE",$C$6,"FILL=B"))))</f>
        <v/>
      </c>
      <c r="O128" s="235"/>
      <c r="P128" s="236" t="str">
        <f t="shared" si="35"/>
        <v/>
      </c>
      <c r="Q128" s="166" t="str" cm="1">
        <f t="array" ref="Q128">IF(ISERROR((_xlfn.SINGLE(IF(OR(AD128="SINKABLE",AD128="CALL/SINK"),_xll.BDP($B128,$Q$10,"fill=b","PRICING_SOURCE",$C$6,$AC128,$N$9,$P128,$M$9,$M128),_xll.BDP($B128,Q$9,"fill=b","PRICING_SOURCE",$C$6,$AC128,$N$9,$P128,$M$9,$M128))))*1),"",IF(OR(AD128="SINKABLE",AD128="CALL/SINK"),_xll.BDP($B128,$Q$10,"fill=b","PRICING_SOURCE",$C$6,$AC128,$N$9,$P128,$M$9,$M128),_xll.BDP($B128,Q$9,"fill=b","PRICING_SOURCE",$C$6,$AC128,$N$9,$P128,$M$9,$M128)))</f>
        <v/>
      </c>
      <c r="R128" s="237"/>
      <c r="S128" s="238" t="str">
        <f t="shared" si="36"/>
        <v/>
      </c>
      <c r="T128" s="239" t="str" cm="1">
        <f t="array" ref="T128">IF(ISERROR((_xlfn.SINGLE(IF(OR(AD128="SINKABLE",AD128="CALL/SINK"),_xll.BDP($B128,$Q$10,"fill=b","PRICING_SOURCE",$C$6,$AC128,$M$9,$U128,"px ask",$AE128),_xll.BDP($B128,Q$9,"fill=b","PRICING_SOURCE",$C$6,$AC128,$M$9,$U128,"px ask",$AE128))))*1),"",IF(OR(AD128="SINKABLE",AD128="CALL/SINK"),_xll.BDP($B128,$Q$10,"fill=b","PRICING_SOURCE",$C$6,$AC128,$M$9,$U128,"px ask",$AE128),_xll.BDP($B128,Q$9,"fill=b","PRICING_SOURCE",$C$6,$AC128,$M$9,$U128,"px ask",$AE128)))</f>
        <v/>
      </c>
      <c r="U128" s="240" t="str">
        <f t="shared" si="29"/>
        <v/>
      </c>
      <c r="V128" s="254" t="str">
        <f>IF(B128="","",IF(I128="BZDIOVRA Index",IF(OR(AD128="SINKABLE",AD128="CALL/SINK"),_xll.BDP($B128,"PX_ASK",$Q$10,J128,$M$9,M128),_xll.BDP($B128,"PX_"&amp;$H$7,$Q$9,J128,$M$9,M128)),_xll.BDP($B128,"PX_"&amp;$H$7,$Q$9,_xll.BDP(B128,"CPN"),$M$9,M128)))</f>
        <v/>
      </c>
      <c r="W128" s="254" t="str">
        <f t="shared" si="30"/>
        <v/>
      </c>
      <c r="X128" s="166" t="str">
        <f>IF(B128="","",IF(OR(AD128="SINKABLE",AD128="CALL/SINK"),_xll.BDP($B128,X$9,"fill=b","PRICING_SOURCE",$C$6,$AC128,$M$9,$M128,$N$9,$P128,$Q$10,$S128),_xll.BDP($B128,X$9,"fill=b","PRICING_SOURCE",$C$6,$AC128,$M$9,$M128,$N$9,$P128,$Q$9,$S128)))</f>
        <v/>
      </c>
      <c r="Y128" s="166" t="str">
        <f>IF(B128="","",IF(OR(AD128="SINKABLE",AD128="CALL/SINK"),_xll.BDP($B128,Y$9,"fill=b","PRICING_SOURCE",$C$6,$AC128,$M$9,$M128,$N$9,$P128,$Q$10,$S128),_xll.BDP($B128,Y$9,"fill=b","PRICING_SOURCE",$C$6,$AC128,$M$9,$M128,$N$9,$P128,$Q$9,$S128)))</f>
        <v/>
      </c>
      <c r="Z128" s="255" t="str">
        <f>IF(B128="","",IF(OR(AD128="SINKABLE",AD128="CALL/SINK"),_xll.BDP($B128,Z$9,"fill=b","PRICING_SOURCE",$C$6,$AC128,$M$9,$M128,$N$9,$P128,$Q$10,$S128),_xll.BDP($B128,Z$9,"fill=b","PRICING_SOURCE",$C$6,$AC128,$M$9,$M128,$N$9,$P128,$Q$9,$S128)))</f>
        <v/>
      </c>
      <c r="AA128" s="166" t="str">
        <f>IF(B128="","",IF(OR(AD128="SINKABLE",AD128="CALL/SINK"),_xll.BDP($B128,AA$9,"fill=b","PRICING_SOURCE",$C$6,$AC128,$M$9,$M128,$N$9,$P128,$Q$10,$S128),_xll.BDP($B128,AA$9,"fill=b","PRICING_SOURCE",$C$6,$AC128,$M$9,$M128,$N$9,$P128,$Q$9,$S128)))</f>
        <v/>
      </c>
      <c r="AB128" s="150" t="str">
        <f>IF(B128="","",IF(LEFT(_xll.BDP($B128,AB$9,"fill=b"),1)="#","-",_xll.BDP($B128,AB$9,"fill=b")))</f>
        <v/>
      </c>
      <c r="AC128" s="150" t="str">
        <f t="shared" si="37"/>
        <v>YLD FLAG=2</v>
      </c>
      <c r="AD128" s="150" t="str">
        <f>IF(B128="","",_xll.BDP($B128,AD$9,"fill=b"))</f>
        <v/>
      </c>
      <c r="AE128" s="256" t="str">
        <f>IF(B128="","",IF(ISERROR(_xll.BDH(B128,"PX LAST",AN128,AN128,"DAYS=ALL","PRICING SOURCE",$C$6)*1),_xll.BDP(B128,"PAR AMT"),_xll.BDH(B128,"PX LAST",AN128,AN128,"DAYS=ALL","PRICING SOURCE",$C$6)))</f>
        <v/>
      </c>
      <c r="AF128" s="150" t="str">
        <f>IF(B128="","",_xll.BDP($B128,AF$9,"fill=b"))</f>
        <v/>
      </c>
      <c r="AG128" s="150"/>
      <c r="AH128" s="190" t="str">
        <f>IF(B128="","",IF($AD128="AT MATURITY",$AB128*1,_xll.BADDPERIODS(_xll.BDP($B128,"issue dt"),"numberofperiods",TRUNC(_xll.BDP($B128,"YRS_TO_LONGEST_AVG_LIFE","YLD_YTM_BID",AF128,"SETTLE_DT",U128,AC128),0),"per=y")+(ROUND(MOD(_xll.BDP(B128,"YRS_TO_LONGEST_AVG_LIFE","YLD_YTM_BID",AF128,"SETTLE_DT",U128,AC128),1)*360,0))))</f>
        <v/>
      </c>
      <c r="AI128" s="150" t="str">
        <f t="array" ref="AI128">IF(B128="","",AF128-_xll.BInterpol(_xll.BDP(_xll.BDS("YCGT0372 Index","curve members","CURVE_DATE", $U128,"endcol=1","array=true"),"maturity")*1,_xll.BDH(_xll.BDS("YCGT0372 Index","curve members","CURVE_DATE", $U128,"endcol=1","array=true"),"yld cnv mid",$U128,$U128,"days=all"),AH128,"CUBIC","Extrapolate=LINEAR","SKIP=TRUE","SORT=TRUE","MultiX=Average"))</f>
        <v/>
      </c>
      <c r="AJ128" s="189" t="str">
        <f t="shared" si="31"/>
        <v/>
      </c>
      <c r="AK128" s="257" t="str">
        <f>IF(B128="","",_xll.BDP($B128,AK$9,"fill=b"))</f>
        <v/>
      </c>
      <c r="AL128" s="257" t="str">
        <f>IF(B128="","",_xll.BDP($B128,AL$9,"fill=b"))</f>
        <v/>
      </c>
      <c r="AM128" s="256" t="str">
        <f>IF(B128="","",_xll.BDP($B128,AM$9,"fill=b"))</f>
        <v/>
      </c>
      <c r="AN128" s="150" t="str">
        <f>IF(B128="","",_xll.BDP($B128,AN$9,"fill=b"))</f>
        <v/>
      </c>
      <c r="AO128" s="150" t="str">
        <f>IF(B128="","",IF(LEFT(_xll.BDP($B128,AO$9,"fill=b"),1)="#","-",_xll.BDP($B128,AO$9,"fill=b")))</f>
        <v/>
      </c>
      <c r="AP128" s="150" t="str">
        <f>IF(B128="","",_xll.BDP($B128,AP$9,"fill=b"))</f>
        <v/>
      </c>
      <c r="AQ128" s="150" t="str">
        <f>IF(B128="","",_xll.BDP($B128,AQ$9,"fill=b"))</f>
        <v/>
      </c>
      <c r="AR128" s="150" t="str">
        <f>IF(B128="","",_xll.BDP($B128,AR$9,"fill=b"))</f>
        <v/>
      </c>
      <c r="AS128" s="150" t="str">
        <f>IF(B128="","",_xll.BDP($B128,AS$9,"fill=b"))</f>
        <v/>
      </c>
      <c r="AT128" s="150" t="str">
        <f>IF(B128="","",_xll.BDP($B128,AT$9,"fill=b"))</f>
        <v/>
      </c>
      <c r="AU128" s="258" t="str">
        <f>IF(B128="","",_xll.BDP($B128,AU$9,"fill=b"))</f>
        <v/>
      </c>
    </row>
    <row r="129" spans="2:47" ht="15" x14ac:dyDescent="0.25">
      <c r="B129" s="232"/>
      <c r="C129" s="150" t="str">
        <f>IF(B129="","",_xll.BDP($B129,C$9,"fill=b"))</f>
        <v/>
      </c>
      <c r="D129" s="150" t="str">
        <f>IF(B129="","",_xll.BDP($B129,D$9,"fill=b"))</f>
        <v/>
      </c>
      <c r="E129" s="150" t="str">
        <f>IF(B129="","",_xll.BDP($B129,E$9,"fill=b"))</f>
        <v/>
      </c>
      <c r="F129" s="150" t="str">
        <f>IF(B129="","",IF(LEFT(_xll.BDP($B129,F$9,"fill=b"),1)="#","-",_xll.BDP($B129,F$9,"fill=b")))</f>
        <v/>
      </c>
      <c r="G129" s="150" t="str">
        <f>IF(B129="","",_xll.BDP($B129,G$9,"fill=b"))</f>
        <v/>
      </c>
      <c r="H129" s="150" t="str">
        <f>IF(B129="","",_xll.BDP($B129,H$9,"fill=b"))</f>
        <v/>
      </c>
      <c r="I129" s="150" t="str" cm="1">
        <f t="array" ref="I129">IF(LEFT(_xlfn.SINGLE(_xll.BDP(B129,"REFERENCE_INDEX")),1)="#",IF(LEFT(_xlfn.SINGLE(_xll.BDP(B129, "RESET_IDX"))&amp;" Index",1)="#","",_xlfn.SINGLE(_xll.BDP(B129, "RESET_IDX"))&amp;" Index"),_xll.BDP(B129,"REFERENCE_INDEX"))</f>
        <v/>
      </c>
      <c r="J129" s="150" t="str">
        <f>IF(I129="BZDIOVRA Index",IF(_xll.BDP(B129,"FLT_SPREAD")/100=0,_xll.BDP(B129,"FLT_BENCH_MULTIPLIER"),_xll.BDP(B129,"FLT_SPREAD")/100),"")</f>
        <v/>
      </c>
      <c r="K129" s="150" t="str">
        <f>IF(B129="","",IF(LEFT(_xll.BDP($B129,K$9,"fill=b"),1)="#","-",_xll.BDP($B129,K$9,"fill=b")))</f>
        <v/>
      </c>
      <c r="L129" s="233"/>
      <c r="M129" s="234" t="str">
        <f t="shared" si="25"/>
        <v/>
      </c>
      <c r="N129" s="252" t="str">
        <f>IF(B129="","",IF(R129="",IF(OR(AD129="SINKABLE",AD129="CALL/SINK"),_xll.BDP(B129,$N$9,$M$9,M129,"PRICING SOURCE",$C$6,"FILL=B"),_xll.BDP(B129,$N$9,$M$9,M129,"PRICING SOURCE",$C$6,"FILL=B")),IF(OR(AD129="SINKABLE",AD129="CALL/SINK"),_xll.BDP(B129,$N$9,$Q$10,S129,$M$9,M129,"PRICING SOURCE",$C$6,"FILL=B"),_xll.BDP(B129,$N$9,$Q$9,S129,$M$9,M129,"PRICING SOURCE",$C$6,"FILL=B"))))</f>
        <v/>
      </c>
      <c r="O129" s="235"/>
      <c r="P129" s="236" t="str">
        <f t="shared" si="35"/>
        <v/>
      </c>
      <c r="Q129" s="166" t="str" cm="1">
        <f t="array" ref="Q129">IF(ISERROR((_xlfn.SINGLE(IF(OR(AD129="SINKABLE",AD129="CALL/SINK"),_xll.BDP($B129,$Q$10,"fill=b","PRICING_SOURCE",$C$6,$AC129,$N$9,$P129,$M$9,$M129),_xll.BDP($B129,Q$9,"fill=b","PRICING_SOURCE",$C$6,$AC129,$N$9,$P129,$M$9,$M129))))*1),"",IF(OR(AD129="SINKABLE",AD129="CALL/SINK"),_xll.BDP($B129,$Q$10,"fill=b","PRICING_SOURCE",$C$6,$AC129,$N$9,$P129,$M$9,$M129),_xll.BDP($B129,Q$9,"fill=b","PRICING_SOURCE",$C$6,$AC129,$N$9,$P129,$M$9,$M129)))</f>
        <v/>
      </c>
      <c r="R129" s="237"/>
      <c r="S129" s="238" t="str">
        <f t="shared" si="36"/>
        <v/>
      </c>
      <c r="T129" s="239" t="str" cm="1">
        <f t="array" ref="T129">IF(ISERROR((_xlfn.SINGLE(IF(OR(AD129="SINKABLE",AD129="CALL/SINK"),_xll.BDP($B129,$Q$10,"fill=b","PRICING_SOURCE",$C$6,$AC129,$M$9,$U129,"px ask",$AE129),_xll.BDP($B129,Q$9,"fill=b","PRICING_SOURCE",$C$6,$AC129,$M$9,$U129,"px ask",$AE129))))*1),"",IF(OR(AD129="SINKABLE",AD129="CALL/SINK"),_xll.BDP($B129,$Q$10,"fill=b","PRICING_SOURCE",$C$6,$AC129,$M$9,$U129,"px ask",$AE129),_xll.BDP($B129,Q$9,"fill=b","PRICING_SOURCE",$C$6,$AC129,$M$9,$U129,"px ask",$AE129)))</f>
        <v/>
      </c>
      <c r="U129" s="240" t="str">
        <f t="shared" si="29"/>
        <v/>
      </c>
      <c r="V129" s="254" t="str">
        <f>IF(B129="","",IF(I129="BZDIOVRA Index",IF(OR(AD129="SINKABLE",AD129="CALL/SINK"),_xll.BDP($B129,"PX_ASK",$Q$10,J129,$M$9,M129),_xll.BDP($B129,"PX_"&amp;$H$7,$Q$9,J129,$M$9,M129)),_xll.BDP($B129,"PX_"&amp;$H$7,$Q$9,_xll.BDP(B129,"CPN"),$M$9,M129)))</f>
        <v/>
      </c>
      <c r="W129" s="254" t="str">
        <f t="shared" si="30"/>
        <v/>
      </c>
      <c r="X129" s="166" t="str">
        <f>IF(B129="","",IF(OR(AD129="SINKABLE",AD129="CALL/SINK"),_xll.BDP($B129,X$9,"fill=b","PRICING_SOURCE",$C$6,$AC129,$M$9,$M129,$N$9,$P129,$Q$10,$S129),_xll.BDP($B129,X$9,"fill=b","PRICING_SOURCE",$C$6,$AC129,$M$9,$M129,$N$9,$P129,$Q$9,$S129)))</f>
        <v/>
      </c>
      <c r="Y129" s="166" t="str">
        <f>IF(B129="","",IF(OR(AD129="SINKABLE",AD129="CALL/SINK"),_xll.BDP($B129,Y$9,"fill=b","PRICING_SOURCE",$C$6,$AC129,$M$9,$M129,$N$9,$P129,$Q$10,$S129),_xll.BDP($B129,Y$9,"fill=b","PRICING_SOURCE",$C$6,$AC129,$M$9,$M129,$N$9,$P129,$Q$9,$S129)))</f>
        <v/>
      </c>
      <c r="Z129" s="255" t="str">
        <f>IF(B129="","",IF(OR(AD129="SINKABLE",AD129="CALL/SINK"),_xll.BDP($B129,Z$9,"fill=b","PRICING_SOURCE",$C$6,$AC129,$M$9,$M129,$N$9,$P129,$Q$10,$S129),_xll.BDP($B129,Z$9,"fill=b","PRICING_SOURCE",$C$6,$AC129,$M$9,$M129,$N$9,$P129,$Q$9,$S129)))</f>
        <v/>
      </c>
      <c r="AA129" s="166" t="str">
        <f>IF(B129="","",IF(OR(AD129="SINKABLE",AD129="CALL/SINK"),_xll.BDP($B129,AA$9,"fill=b","PRICING_SOURCE",$C$6,$AC129,$M$9,$M129,$N$9,$P129,$Q$10,$S129),_xll.BDP($B129,AA$9,"fill=b","PRICING_SOURCE",$C$6,$AC129,$M$9,$M129,$N$9,$P129,$Q$9,$S129)))</f>
        <v/>
      </c>
      <c r="AB129" s="150" t="str">
        <f>IF(B129="","",IF(LEFT(_xll.BDP($B129,AB$9,"fill=b"),1)="#","-",_xll.BDP($B129,AB$9,"fill=b")))</f>
        <v/>
      </c>
      <c r="AC129" s="150" t="str">
        <f t="shared" si="37"/>
        <v>YLD FLAG=2</v>
      </c>
      <c r="AD129" s="150" t="str">
        <f>IF(B129="","",_xll.BDP($B129,AD$9,"fill=b"))</f>
        <v/>
      </c>
      <c r="AE129" s="256" t="str">
        <f>IF(B129="","",IF(ISERROR(_xll.BDH(B129,"PX LAST",AN129,AN129,"DAYS=ALL","PRICING SOURCE",$C$6)*1),_xll.BDP(B129,"PAR AMT"),_xll.BDH(B129,"PX LAST",AN129,AN129,"DAYS=ALL","PRICING SOURCE",$C$6)))</f>
        <v/>
      </c>
      <c r="AF129" s="150" t="str">
        <f>IF(B129="","",_xll.BDP($B129,AF$9,"fill=b"))</f>
        <v/>
      </c>
      <c r="AG129" s="150"/>
      <c r="AH129" s="190" t="str">
        <f>IF(B129="","",IF($AD129="AT MATURITY",$AB129*1,_xll.BADDPERIODS(_xll.BDP($B129,"issue dt"),"numberofperiods",TRUNC(_xll.BDP($B129,"YRS_TO_LONGEST_AVG_LIFE","YLD_YTM_BID",AF129,"SETTLE_DT",U129,AC129),0),"per=y")+(ROUND(MOD(_xll.BDP(B129,"YRS_TO_LONGEST_AVG_LIFE","YLD_YTM_BID",AF129,"SETTLE_DT",U129,AC129),1)*360,0))))</f>
        <v/>
      </c>
      <c r="AI129" s="150" t="str">
        <f t="array" ref="AI129">IF(B129="","",AF129-_xll.BInterpol(_xll.BDP(_xll.BDS("YCGT0372 Index","curve members","CURVE_DATE", $U129,"endcol=1","array=true"),"maturity")*1,_xll.BDH(_xll.BDS("YCGT0372 Index","curve members","CURVE_DATE", $U129,"endcol=1","array=true"),"yld cnv mid",$U129,$U129,"days=all"),AH129,"CUBIC","Extrapolate=LINEAR","SKIP=TRUE","SORT=TRUE","MultiX=Average"))</f>
        <v/>
      </c>
      <c r="AJ129" s="189" t="str">
        <f t="shared" si="31"/>
        <v/>
      </c>
      <c r="AK129" s="257" t="str">
        <f>IF(B129="","",_xll.BDP($B129,AK$9,"fill=b"))</f>
        <v/>
      </c>
      <c r="AL129" s="257" t="str">
        <f>IF(B129="","",_xll.BDP($B129,AL$9,"fill=b"))</f>
        <v/>
      </c>
      <c r="AM129" s="256" t="str">
        <f>IF(B129="","",_xll.BDP($B129,AM$9,"fill=b"))</f>
        <v/>
      </c>
      <c r="AN129" s="150" t="str">
        <f>IF(B129="","",_xll.BDP($B129,AN$9,"fill=b"))</f>
        <v/>
      </c>
      <c r="AO129" s="150" t="str">
        <f>IF(B129="","",IF(LEFT(_xll.BDP($B129,AO$9,"fill=b"),1)="#","-",_xll.BDP($B129,AO$9,"fill=b")))</f>
        <v/>
      </c>
      <c r="AP129" s="150" t="str">
        <f>IF(B129="","",_xll.BDP($B129,AP$9,"fill=b"))</f>
        <v/>
      </c>
      <c r="AQ129" s="150" t="str">
        <f>IF(B129="","",_xll.BDP($B129,AQ$9,"fill=b"))</f>
        <v/>
      </c>
      <c r="AR129" s="150" t="str">
        <f>IF(B129="","",_xll.BDP($B129,AR$9,"fill=b"))</f>
        <v/>
      </c>
      <c r="AS129" s="150" t="str">
        <f>IF(B129="","",_xll.BDP($B129,AS$9,"fill=b"))</f>
        <v/>
      </c>
      <c r="AT129" s="150" t="str">
        <f>IF(B129="","",_xll.BDP($B129,AT$9,"fill=b"))</f>
        <v/>
      </c>
      <c r="AU129" s="258" t="str">
        <f>IF(B129="","",_xll.BDP($B129,AU$9,"fill=b"))</f>
        <v/>
      </c>
    </row>
    <row r="130" spans="2:47" ht="15" x14ac:dyDescent="0.25">
      <c r="B130" s="232"/>
      <c r="C130" s="150" t="str">
        <f>IF(B130="","",_xll.BDP($B130,C$9,"fill=b"))</f>
        <v/>
      </c>
      <c r="D130" s="150" t="str">
        <f>IF(B130="","",_xll.BDP($B130,D$9,"fill=b"))</f>
        <v/>
      </c>
      <c r="E130" s="150" t="str">
        <f>IF(B130="","",_xll.BDP($B130,E$9,"fill=b"))</f>
        <v/>
      </c>
      <c r="F130" s="150" t="str">
        <f>IF(B130="","",IF(LEFT(_xll.BDP($B130,F$9,"fill=b"),1)="#","-",_xll.BDP($B130,F$9,"fill=b")))</f>
        <v/>
      </c>
      <c r="G130" s="150" t="str">
        <f>IF(B130="","",_xll.BDP($B130,G$9,"fill=b"))</f>
        <v/>
      </c>
      <c r="H130" s="150" t="str">
        <f>IF(B130="","",_xll.BDP($B130,H$9,"fill=b"))</f>
        <v/>
      </c>
      <c r="I130" s="150" t="str" cm="1">
        <f t="array" ref="I130">IF(LEFT(_xlfn.SINGLE(_xll.BDP(B130,"REFERENCE_INDEX")),1)="#",IF(LEFT(_xlfn.SINGLE(_xll.BDP(B130, "RESET_IDX"))&amp;" Index",1)="#","",_xlfn.SINGLE(_xll.BDP(B130, "RESET_IDX"))&amp;" Index"),_xll.BDP(B130,"REFERENCE_INDEX"))</f>
        <v/>
      </c>
      <c r="J130" s="150" t="str">
        <f>IF(I130="BZDIOVRA Index",IF(_xll.BDP(B130,"FLT_SPREAD")/100=0,_xll.BDP(B130,"FLT_BENCH_MULTIPLIER"),_xll.BDP(B130,"FLT_SPREAD")/100),"")</f>
        <v/>
      </c>
      <c r="K130" s="150" t="str">
        <f>IF(B130="","",IF(LEFT(_xll.BDP($B130,K$9,"fill=b"),1)="#","-",_xll.BDP($B130,K$9,"fill=b")))</f>
        <v/>
      </c>
      <c r="L130" s="233"/>
      <c r="M130" s="234" t="str">
        <f t="shared" si="25"/>
        <v/>
      </c>
      <c r="N130" s="252" t="str">
        <f>IF(B130="","",IF(R130="",IF(OR(AD130="SINKABLE",AD130="CALL/SINK"),_xll.BDP(B130,$N$9,$M$9,M130,"PRICING SOURCE",$C$6,"FILL=B"),_xll.BDP(B130,$N$9,$M$9,M130,"PRICING SOURCE",$C$6,"FILL=B")),IF(OR(AD130="SINKABLE",AD130="CALL/SINK"),_xll.BDP(B130,$N$9,$Q$10,S130,$M$9,M130,"PRICING SOURCE",$C$6,"FILL=B"),_xll.BDP(B130,$N$9,$Q$9,S130,$M$9,M130,"PRICING SOURCE",$C$6,"FILL=B"))))</f>
        <v/>
      </c>
      <c r="O130" s="235"/>
      <c r="P130" s="236" t="str">
        <f t="shared" si="35"/>
        <v/>
      </c>
      <c r="Q130" s="166" t="str" cm="1">
        <f t="array" ref="Q130">IF(ISERROR((_xlfn.SINGLE(IF(OR(AD130="SINKABLE",AD130="CALL/SINK"),_xll.BDP($B130,$Q$10,"fill=b","PRICING_SOURCE",$C$6,$AC130,$N$9,$P130,$M$9,$M130),_xll.BDP($B130,Q$9,"fill=b","PRICING_SOURCE",$C$6,$AC130,$N$9,$P130,$M$9,$M130))))*1),"",IF(OR(AD130="SINKABLE",AD130="CALL/SINK"),_xll.BDP($B130,$Q$10,"fill=b","PRICING_SOURCE",$C$6,$AC130,$N$9,$P130,$M$9,$M130),_xll.BDP($B130,Q$9,"fill=b","PRICING_SOURCE",$C$6,$AC130,$N$9,$P130,$M$9,$M130)))</f>
        <v/>
      </c>
      <c r="R130" s="237"/>
      <c r="S130" s="238" t="str">
        <f t="shared" si="36"/>
        <v/>
      </c>
      <c r="T130" s="239" t="str" cm="1">
        <f t="array" ref="T130">IF(ISERROR((_xlfn.SINGLE(IF(OR(AD130="SINKABLE",AD130="CALL/SINK"),_xll.BDP($B130,$Q$10,"fill=b","PRICING_SOURCE",$C$6,$AC130,$M$9,$U130,"px ask",$AE130),_xll.BDP($B130,Q$9,"fill=b","PRICING_SOURCE",$C$6,$AC130,$M$9,$U130,"px ask",$AE130))))*1),"",IF(OR(AD130="SINKABLE",AD130="CALL/SINK"),_xll.BDP($B130,$Q$10,"fill=b","PRICING_SOURCE",$C$6,$AC130,$M$9,$U130,"px ask",$AE130),_xll.BDP($B130,Q$9,"fill=b","PRICING_SOURCE",$C$6,$AC130,$M$9,$U130,"px ask",$AE130)))</f>
        <v/>
      </c>
      <c r="U130" s="240" t="str">
        <f t="shared" si="29"/>
        <v/>
      </c>
      <c r="V130" s="254" t="str">
        <f>IF(B130="","",IF(I130="BZDIOVRA Index",IF(OR(AD130="SINKABLE",AD130="CALL/SINK"),_xll.BDP($B130,"PX_ASK",$Q$10,J130,$M$9,M130),_xll.BDP($B130,"PX_"&amp;$H$7,$Q$9,J130,$M$9,M130)),_xll.BDP($B130,"PX_"&amp;$H$7,$Q$9,_xll.BDP(B130,"CPN"),$M$9,M130)))</f>
        <v/>
      </c>
      <c r="W130" s="254" t="str">
        <f t="shared" si="30"/>
        <v/>
      </c>
      <c r="X130" s="166" t="str">
        <f>IF(B130="","",IF(OR(AD130="SINKABLE",AD130="CALL/SINK"),_xll.BDP($B130,X$9,"fill=b","PRICING_SOURCE",$C$6,$AC130,$M$9,$M130,$N$9,$P130,$Q$10,$S130),_xll.BDP($B130,X$9,"fill=b","PRICING_SOURCE",$C$6,$AC130,$M$9,$M130,$N$9,$P130,$Q$9,$S130)))</f>
        <v/>
      </c>
      <c r="Y130" s="166" t="str">
        <f>IF(B130="","",IF(OR(AD130="SINKABLE",AD130="CALL/SINK"),_xll.BDP($B130,Y$9,"fill=b","PRICING_SOURCE",$C$6,$AC130,$M$9,$M130,$N$9,$P130,$Q$10,$S130),_xll.BDP($B130,Y$9,"fill=b","PRICING_SOURCE",$C$6,$AC130,$M$9,$M130,$N$9,$P130,$Q$9,$S130)))</f>
        <v/>
      </c>
      <c r="Z130" s="255" t="str">
        <f>IF(B130="","",IF(OR(AD130="SINKABLE",AD130="CALL/SINK"),_xll.BDP($B130,Z$9,"fill=b","PRICING_SOURCE",$C$6,$AC130,$M$9,$M130,$N$9,$P130,$Q$10,$S130),_xll.BDP($B130,Z$9,"fill=b","PRICING_SOURCE",$C$6,$AC130,$M$9,$M130,$N$9,$P130,$Q$9,$S130)))</f>
        <v/>
      </c>
      <c r="AA130" s="166" t="str">
        <f>IF(B130="","",IF(OR(AD130="SINKABLE",AD130="CALL/SINK"),_xll.BDP($B130,AA$9,"fill=b","PRICING_SOURCE",$C$6,$AC130,$M$9,$M130,$N$9,$P130,$Q$10,$S130),_xll.BDP($B130,AA$9,"fill=b","PRICING_SOURCE",$C$6,$AC130,$M$9,$M130,$N$9,$P130,$Q$9,$S130)))</f>
        <v/>
      </c>
      <c r="AB130" s="150" t="str">
        <f>IF(B130="","",IF(LEFT(_xll.BDP($B130,AB$9,"fill=b"),1)="#","-",_xll.BDP($B130,AB$9,"fill=b")))</f>
        <v/>
      </c>
      <c r="AC130" s="150" t="str">
        <f t="shared" si="37"/>
        <v>YLD FLAG=2</v>
      </c>
      <c r="AD130" s="150" t="str">
        <f>IF(B130="","",_xll.BDP($B130,AD$9,"fill=b"))</f>
        <v/>
      </c>
      <c r="AE130" s="256" t="str">
        <f>IF(B130="","",IF(ISERROR(_xll.BDH(B130,"PX LAST",AN130,AN130,"DAYS=ALL","PRICING SOURCE",$C$6)*1),_xll.BDP(B130,"PAR AMT"),_xll.BDH(B130,"PX LAST",AN130,AN130,"DAYS=ALL","PRICING SOURCE",$C$6)))</f>
        <v/>
      </c>
      <c r="AF130" s="150" t="str">
        <f>IF(B130="","",_xll.BDP($B130,AF$9,"fill=b"))</f>
        <v/>
      </c>
      <c r="AG130" s="150"/>
      <c r="AH130" s="190" t="str">
        <f>IF(B130="","",IF($AD130="AT MATURITY",$AB130*1,_xll.BADDPERIODS(_xll.BDP($B130,"issue dt"),"numberofperiods",TRUNC(_xll.BDP($B130,"YRS_TO_LONGEST_AVG_LIFE","YLD_YTM_BID",AF130,"SETTLE_DT",U130,AC130),0),"per=y")+(ROUND(MOD(_xll.BDP(B130,"YRS_TO_LONGEST_AVG_LIFE","YLD_YTM_BID",AF130,"SETTLE_DT",U130,AC130),1)*360,0))))</f>
        <v/>
      </c>
      <c r="AI130" s="150" t="str">
        <f t="array" ref="AI130">IF(B130="","",AF130-_xll.BInterpol(_xll.BDP(_xll.BDS("YCGT0372 Index","curve members","CURVE_DATE", $U130,"endcol=1","array=true"),"maturity")*1,_xll.BDH(_xll.BDS("YCGT0372 Index","curve members","CURVE_DATE", $U130,"endcol=1","array=true"),"yld cnv mid",$U130,$U130,"days=all"),AH130,"CUBIC","Extrapolate=LINEAR","SKIP=TRUE","SORT=TRUE","MultiX=Average"))</f>
        <v/>
      </c>
      <c r="AJ130" s="189" t="str">
        <f t="shared" si="31"/>
        <v/>
      </c>
      <c r="AK130" s="257" t="str">
        <f>IF(B130="","",_xll.BDP($B130,AK$9,"fill=b"))</f>
        <v/>
      </c>
      <c r="AL130" s="257" t="str">
        <f>IF(B130="","",_xll.BDP($B130,AL$9,"fill=b"))</f>
        <v/>
      </c>
      <c r="AM130" s="256" t="str">
        <f>IF(B130="","",_xll.BDP($B130,AM$9,"fill=b"))</f>
        <v/>
      </c>
      <c r="AN130" s="150" t="str">
        <f>IF(B130="","",_xll.BDP($B130,AN$9,"fill=b"))</f>
        <v/>
      </c>
      <c r="AO130" s="150" t="str">
        <f>IF(B130="","",IF(LEFT(_xll.BDP($B130,AO$9,"fill=b"),1)="#","-",_xll.BDP($B130,AO$9,"fill=b")))</f>
        <v/>
      </c>
      <c r="AP130" s="150" t="str">
        <f>IF(B130="","",_xll.BDP($B130,AP$9,"fill=b"))</f>
        <v/>
      </c>
      <c r="AQ130" s="150" t="str">
        <f>IF(B130="","",_xll.BDP($B130,AQ$9,"fill=b"))</f>
        <v/>
      </c>
      <c r="AR130" s="150" t="str">
        <f>IF(B130="","",_xll.BDP($B130,AR$9,"fill=b"))</f>
        <v/>
      </c>
      <c r="AS130" s="150" t="str">
        <f>IF(B130="","",_xll.BDP($B130,AS$9,"fill=b"))</f>
        <v/>
      </c>
      <c r="AT130" s="150" t="str">
        <f>IF(B130="","",_xll.BDP($B130,AT$9,"fill=b"))</f>
        <v/>
      </c>
      <c r="AU130" s="258" t="str">
        <f>IF(B130="","",_xll.BDP($B130,AU$9,"fill=b"))</f>
        <v/>
      </c>
    </row>
    <row r="131" spans="2:47" ht="15" x14ac:dyDescent="0.25">
      <c r="B131" s="232"/>
      <c r="C131" s="150" t="str">
        <f>IF(B131="","",_xll.BDP($B131,C$9,"fill=b"))</f>
        <v/>
      </c>
      <c r="D131" s="150" t="str">
        <f>IF(B131="","",_xll.BDP($B131,D$9,"fill=b"))</f>
        <v/>
      </c>
      <c r="E131" s="150" t="str">
        <f>IF(B131="","",_xll.BDP($B131,E$9,"fill=b"))</f>
        <v/>
      </c>
      <c r="F131" s="150" t="str">
        <f>IF(B131="","",IF(LEFT(_xll.BDP($B131,F$9,"fill=b"),1)="#","-",_xll.BDP($B131,F$9,"fill=b")))</f>
        <v/>
      </c>
      <c r="G131" s="150" t="str">
        <f>IF(B131="","",_xll.BDP($B131,G$9,"fill=b"))</f>
        <v/>
      </c>
      <c r="H131" s="150" t="str">
        <f>IF(B131="","",_xll.BDP($B131,H$9,"fill=b"))</f>
        <v/>
      </c>
      <c r="I131" s="150" t="str" cm="1">
        <f t="array" ref="I131">IF(LEFT(_xlfn.SINGLE(_xll.BDP(B131,"REFERENCE_INDEX")),1)="#",IF(LEFT(_xlfn.SINGLE(_xll.BDP(B131, "RESET_IDX"))&amp;" Index",1)="#","",_xlfn.SINGLE(_xll.BDP(B131, "RESET_IDX"))&amp;" Index"),_xll.BDP(B131,"REFERENCE_INDEX"))</f>
        <v/>
      </c>
      <c r="J131" s="150" t="str">
        <f>IF(I131="BZDIOVRA Index",IF(_xll.BDP(B131,"FLT_SPREAD")/100=0,_xll.BDP(B131,"FLT_BENCH_MULTIPLIER"),_xll.BDP(B131,"FLT_SPREAD")/100),"")</f>
        <v/>
      </c>
      <c r="K131" s="150" t="str">
        <f>IF(B131="","",IF(LEFT(_xll.BDP($B131,K$9,"fill=b"),1)="#","-",_xll.BDP($B131,K$9,"fill=b")))</f>
        <v/>
      </c>
      <c r="L131" s="233"/>
      <c r="M131" s="234" t="str">
        <f t="shared" si="25"/>
        <v/>
      </c>
      <c r="N131" s="252" t="str">
        <f>IF(B131="","",IF(R131="",IF(OR(AD131="SINKABLE",AD131="CALL/SINK"),_xll.BDP(B131,$N$9,$M$9,M131,"PRICING SOURCE",$C$6,"FILL=B"),_xll.BDP(B131,$N$9,$M$9,M131,"PRICING SOURCE",$C$6,"FILL=B")),IF(OR(AD131="SINKABLE",AD131="CALL/SINK"),_xll.BDP(B131,$N$9,$Q$10,S131,$M$9,M131,"PRICING SOURCE",$C$6,"FILL=B"),_xll.BDP(B131,$N$9,$Q$9,S131,$M$9,M131,"PRICING SOURCE",$C$6,"FILL=B"))))</f>
        <v/>
      </c>
      <c r="O131" s="235"/>
      <c r="P131" s="236" t="str">
        <f t="shared" si="35"/>
        <v/>
      </c>
      <c r="Q131" s="166" t="str" cm="1">
        <f t="array" ref="Q131">IF(ISERROR((_xlfn.SINGLE(IF(OR(AD131="SINKABLE",AD131="CALL/SINK"),_xll.BDP($B131,$Q$10,"fill=b","PRICING_SOURCE",$C$6,$AC131,$N$9,$P131,$M$9,$M131),_xll.BDP($B131,Q$9,"fill=b","PRICING_SOURCE",$C$6,$AC131,$N$9,$P131,$M$9,$M131))))*1),"",IF(OR(AD131="SINKABLE",AD131="CALL/SINK"),_xll.BDP($B131,$Q$10,"fill=b","PRICING_SOURCE",$C$6,$AC131,$N$9,$P131,$M$9,$M131),_xll.BDP($B131,Q$9,"fill=b","PRICING_SOURCE",$C$6,$AC131,$N$9,$P131,$M$9,$M131)))</f>
        <v/>
      </c>
      <c r="R131" s="237"/>
      <c r="S131" s="238" t="str">
        <f t="shared" si="36"/>
        <v/>
      </c>
      <c r="T131" s="239" t="str" cm="1">
        <f t="array" ref="T131">IF(ISERROR((_xlfn.SINGLE(IF(OR(AD131="SINKABLE",AD131="CALL/SINK"),_xll.BDP($B131,$Q$10,"fill=b","PRICING_SOURCE",$C$6,$AC131,$M$9,$U131,"px ask",$AE131),_xll.BDP($B131,Q$9,"fill=b","PRICING_SOURCE",$C$6,$AC131,$M$9,$U131,"px ask",$AE131))))*1),"",IF(OR(AD131="SINKABLE",AD131="CALL/SINK"),_xll.BDP($B131,$Q$10,"fill=b","PRICING_SOURCE",$C$6,$AC131,$M$9,$U131,"px ask",$AE131),_xll.BDP($B131,Q$9,"fill=b","PRICING_SOURCE",$C$6,$AC131,$M$9,$U131,"px ask",$AE131)))</f>
        <v/>
      </c>
      <c r="U131" s="240" t="str">
        <f t="shared" si="29"/>
        <v/>
      </c>
      <c r="V131" s="254" t="str">
        <f>IF(B131="","",IF(I131="BZDIOVRA Index",IF(OR(AD131="SINKABLE",AD131="CALL/SINK"),_xll.BDP($B131,"PX_ASK",$Q$10,J131,$M$9,M131),_xll.BDP($B131,"PX_"&amp;$H$7,$Q$9,J131,$M$9,M131)),_xll.BDP($B131,"PX_"&amp;$H$7,$Q$9,_xll.BDP(B131,"CPN"),$M$9,M131)))</f>
        <v/>
      </c>
      <c r="W131" s="254" t="str">
        <f t="shared" si="30"/>
        <v/>
      </c>
      <c r="X131" s="166" t="str">
        <f>IF(B131="","",IF(OR(AD131="SINKABLE",AD131="CALL/SINK"),_xll.BDP($B131,X$9,"fill=b","PRICING_SOURCE",$C$6,$AC131,$M$9,$M131,$N$9,$P131,$Q$10,$S131),_xll.BDP($B131,X$9,"fill=b","PRICING_SOURCE",$C$6,$AC131,$M$9,$M131,$N$9,$P131,$Q$9,$S131)))</f>
        <v/>
      </c>
      <c r="Y131" s="166" t="str">
        <f>IF(B131="","",IF(OR(AD131="SINKABLE",AD131="CALL/SINK"),_xll.BDP($B131,Y$9,"fill=b","PRICING_SOURCE",$C$6,$AC131,$M$9,$M131,$N$9,$P131,$Q$10,$S131),_xll.BDP($B131,Y$9,"fill=b","PRICING_SOURCE",$C$6,$AC131,$M$9,$M131,$N$9,$P131,$Q$9,$S131)))</f>
        <v/>
      </c>
      <c r="Z131" s="255" t="str">
        <f>IF(B131="","",IF(OR(AD131="SINKABLE",AD131="CALL/SINK"),_xll.BDP($B131,Z$9,"fill=b","PRICING_SOURCE",$C$6,$AC131,$M$9,$M131,$N$9,$P131,$Q$10,$S131),_xll.BDP($B131,Z$9,"fill=b","PRICING_SOURCE",$C$6,$AC131,$M$9,$M131,$N$9,$P131,$Q$9,$S131)))</f>
        <v/>
      </c>
      <c r="AA131" s="166" t="str">
        <f>IF(B131="","",IF(OR(AD131="SINKABLE",AD131="CALL/SINK"),_xll.BDP($B131,AA$9,"fill=b","PRICING_SOURCE",$C$6,$AC131,$M$9,$M131,$N$9,$P131,$Q$10,$S131),_xll.BDP($B131,AA$9,"fill=b","PRICING_SOURCE",$C$6,$AC131,$M$9,$M131,$N$9,$P131,$Q$9,$S131)))</f>
        <v/>
      </c>
      <c r="AB131" s="150" t="str">
        <f>IF(B131="","",IF(LEFT(_xll.BDP($B131,AB$9,"fill=b"),1)="#","-",_xll.BDP($B131,AB$9,"fill=b")))</f>
        <v/>
      </c>
      <c r="AC131" s="150" t="str">
        <f t="shared" si="37"/>
        <v>YLD FLAG=2</v>
      </c>
      <c r="AD131" s="150" t="str">
        <f>IF(B131="","",_xll.BDP($B131,AD$9,"fill=b"))</f>
        <v/>
      </c>
      <c r="AE131" s="256" t="str">
        <f>IF(B131="","",IF(ISERROR(_xll.BDH(B131,"PX LAST",AN131,AN131,"DAYS=ALL","PRICING SOURCE",$C$6)*1),_xll.BDP(B131,"PAR AMT"),_xll.BDH(B131,"PX LAST",AN131,AN131,"DAYS=ALL","PRICING SOURCE",$C$6)))</f>
        <v/>
      </c>
      <c r="AF131" s="150" t="str">
        <f>IF(B131="","",_xll.BDP($B131,AF$9,"fill=b"))</f>
        <v/>
      </c>
      <c r="AG131" s="150"/>
      <c r="AH131" s="190" t="str">
        <f>IF(B131="","",IF($AD131="AT MATURITY",$AB131*1,_xll.BADDPERIODS(_xll.BDP($B131,"issue dt"),"numberofperiods",TRUNC(_xll.BDP($B131,"YRS_TO_LONGEST_AVG_LIFE","YLD_YTM_BID",AF131,"SETTLE_DT",U131,AC131),0),"per=y")+(ROUND(MOD(_xll.BDP(B131,"YRS_TO_LONGEST_AVG_LIFE","YLD_YTM_BID",AF131,"SETTLE_DT",U131,AC131),1)*360,0))))</f>
        <v/>
      </c>
      <c r="AI131" s="150" t="str">
        <f t="array" ref="AI131">IF(B131="","",AF131-_xll.BInterpol(_xll.BDP(_xll.BDS("YCGT0372 Index","curve members","CURVE_DATE", $U131,"endcol=1","array=true"),"maturity")*1,_xll.BDH(_xll.BDS("YCGT0372 Index","curve members","CURVE_DATE", $U131,"endcol=1","array=true"),"yld cnv mid",$U131,$U131,"days=all"),AH131,"CUBIC","Extrapolate=LINEAR","SKIP=TRUE","SORT=TRUE","MultiX=Average"))</f>
        <v/>
      </c>
      <c r="AJ131" s="189" t="str">
        <f t="shared" si="31"/>
        <v/>
      </c>
      <c r="AK131" s="257" t="str">
        <f>IF(B131="","",_xll.BDP($B131,AK$9,"fill=b"))</f>
        <v/>
      </c>
      <c r="AL131" s="257" t="str">
        <f>IF(B131="","",_xll.BDP($B131,AL$9,"fill=b"))</f>
        <v/>
      </c>
      <c r="AM131" s="256" t="str">
        <f>IF(B131="","",_xll.BDP($B131,AM$9,"fill=b"))</f>
        <v/>
      </c>
      <c r="AN131" s="150" t="str">
        <f>IF(B131="","",_xll.BDP($B131,AN$9,"fill=b"))</f>
        <v/>
      </c>
      <c r="AO131" s="150" t="str">
        <f>IF(B131="","",IF(LEFT(_xll.BDP($B131,AO$9,"fill=b"),1)="#","-",_xll.BDP($B131,AO$9,"fill=b")))</f>
        <v/>
      </c>
      <c r="AP131" s="150" t="str">
        <f>IF(B131="","",_xll.BDP($B131,AP$9,"fill=b"))</f>
        <v/>
      </c>
      <c r="AQ131" s="150" t="str">
        <f>IF(B131="","",_xll.BDP($B131,AQ$9,"fill=b"))</f>
        <v/>
      </c>
      <c r="AR131" s="150" t="str">
        <f>IF(B131="","",_xll.BDP($B131,AR$9,"fill=b"))</f>
        <v/>
      </c>
      <c r="AS131" s="150" t="str">
        <f>IF(B131="","",_xll.BDP($B131,AS$9,"fill=b"))</f>
        <v/>
      </c>
      <c r="AT131" s="150" t="str">
        <f>IF(B131="","",_xll.BDP($B131,AT$9,"fill=b"))</f>
        <v/>
      </c>
      <c r="AU131" s="258" t="str">
        <f>IF(B131="","",_xll.BDP($B131,AU$9,"fill=b"))</f>
        <v/>
      </c>
    </row>
    <row r="132" spans="2:47" ht="15" x14ac:dyDescent="0.25">
      <c r="B132" s="232"/>
      <c r="C132" s="150" t="str">
        <f>IF(B132="","",_xll.BDP($B132,C$9,"fill=b"))</f>
        <v/>
      </c>
      <c r="D132" s="150" t="str">
        <f>IF(B132="","",_xll.BDP($B132,D$9,"fill=b"))</f>
        <v/>
      </c>
      <c r="E132" s="150" t="str">
        <f>IF(B132="","",_xll.BDP($B132,E$9,"fill=b"))</f>
        <v/>
      </c>
      <c r="F132" s="150" t="str">
        <f>IF(B132="","",IF(LEFT(_xll.BDP($B132,F$9,"fill=b"),1)="#","-",_xll.BDP($B132,F$9,"fill=b")))</f>
        <v/>
      </c>
      <c r="G132" s="150" t="str">
        <f>IF(B132="","",_xll.BDP($B132,G$9,"fill=b"))</f>
        <v/>
      </c>
      <c r="H132" s="150" t="str">
        <f>IF(B132="","",_xll.BDP($B132,H$9,"fill=b"))</f>
        <v/>
      </c>
      <c r="I132" s="150" t="str" cm="1">
        <f t="array" ref="I132">IF(LEFT(_xlfn.SINGLE(_xll.BDP(B132,"REFERENCE_INDEX")),1)="#",IF(LEFT(_xlfn.SINGLE(_xll.BDP(B132, "RESET_IDX"))&amp;" Index",1)="#","",_xlfn.SINGLE(_xll.BDP(B132, "RESET_IDX"))&amp;" Index"),_xll.BDP(B132,"REFERENCE_INDEX"))</f>
        <v/>
      </c>
      <c r="J132" s="150" t="str">
        <f>IF(I132="BZDIOVRA Index",IF(_xll.BDP(B132,"FLT_SPREAD")/100=0,_xll.BDP(B132,"FLT_BENCH_MULTIPLIER"),_xll.BDP(B132,"FLT_SPREAD")/100),"")</f>
        <v/>
      </c>
      <c r="K132" s="150" t="str">
        <f>IF(B132="","",IF(LEFT(_xll.BDP($B132,K$9,"fill=b"),1)="#","-",_xll.BDP($B132,K$9,"fill=b")))</f>
        <v/>
      </c>
      <c r="L132" s="233"/>
      <c r="M132" s="234" t="str">
        <f t="shared" si="25"/>
        <v/>
      </c>
      <c r="N132" s="252" t="str">
        <f>IF(B132="","",IF(R132="",IF(OR(AD132="SINKABLE",AD132="CALL/SINK"),_xll.BDP(B132,$N$9,$M$9,M132,"PRICING SOURCE",$C$6,"FILL=B"),_xll.BDP(B132,$N$9,$M$9,M132,"PRICING SOURCE",$C$6,"FILL=B")),IF(OR(AD132="SINKABLE",AD132="CALL/SINK"),_xll.BDP(B132,$N$9,$Q$10,S132,$M$9,M132,"PRICING SOURCE",$C$6,"FILL=B"),_xll.BDP(B132,$N$9,$Q$9,S132,$M$9,M132,"PRICING SOURCE",$C$6,"FILL=B"))))</f>
        <v/>
      </c>
      <c r="O132" s="235"/>
      <c r="P132" s="236" t="str">
        <f t="shared" si="35"/>
        <v/>
      </c>
      <c r="Q132" s="166" t="str" cm="1">
        <f t="array" ref="Q132">IF(ISERROR((_xlfn.SINGLE(IF(OR(AD132="SINKABLE",AD132="CALL/SINK"),_xll.BDP($B132,$Q$10,"fill=b","PRICING_SOURCE",$C$6,$AC132,$N$9,$P132,$M$9,$M132),_xll.BDP($B132,Q$9,"fill=b","PRICING_SOURCE",$C$6,$AC132,$N$9,$P132,$M$9,$M132))))*1),"",IF(OR(AD132="SINKABLE",AD132="CALL/SINK"),_xll.BDP($B132,$Q$10,"fill=b","PRICING_SOURCE",$C$6,$AC132,$N$9,$P132,$M$9,$M132),_xll.BDP($B132,Q$9,"fill=b","PRICING_SOURCE",$C$6,$AC132,$N$9,$P132,$M$9,$M132)))</f>
        <v/>
      </c>
      <c r="R132" s="237"/>
      <c r="S132" s="238" t="str">
        <f t="shared" si="36"/>
        <v/>
      </c>
      <c r="T132" s="239" t="str" cm="1">
        <f t="array" ref="T132">IF(ISERROR((_xlfn.SINGLE(IF(OR(AD132="SINKABLE",AD132="CALL/SINK"),_xll.BDP($B132,$Q$10,"fill=b","PRICING_SOURCE",$C$6,$AC132,$M$9,$U132,"px ask",$AE132),_xll.BDP($B132,Q$9,"fill=b","PRICING_SOURCE",$C$6,$AC132,$M$9,$U132,"px ask",$AE132))))*1),"",IF(OR(AD132="SINKABLE",AD132="CALL/SINK"),_xll.BDP($B132,$Q$10,"fill=b","PRICING_SOURCE",$C$6,$AC132,$M$9,$U132,"px ask",$AE132),_xll.BDP($B132,Q$9,"fill=b","PRICING_SOURCE",$C$6,$AC132,$M$9,$U132,"px ask",$AE132)))</f>
        <v/>
      </c>
      <c r="U132" s="240" t="str">
        <f t="shared" si="29"/>
        <v/>
      </c>
      <c r="V132" s="254" t="str">
        <f>IF(B132="","",IF(I132="BZDIOVRA Index",IF(OR(AD132="SINKABLE",AD132="CALL/SINK"),_xll.BDP($B132,"PX_ASK",$Q$10,J132,$M$9,M132),_xll.BDP($B132,"PX_"&amp;$H$7,$Q$9,J132,$M$9,M132)),_xll.BDP($B132,"PX_"&amp;$H$7,$Q$9,_xll.BDP(B132,"CPN"),$M$9,M132)))</f>
        <v/>
      </c>
      <c r="W132" s="254" t="str">
        <f t="shared" si="30"/>
        <v/>
      </c>
      <c r="X132" s="166" t="str">
        <f>IF(B132="","",IF(OR(AD132="SINKABLE",AD132="CALL/SINK"),_xll.BDP($B132,X$9,"fill=b","PRICING_SOURCE",$C$6,$AC132,$M$9,$M132,$N$9,$P132,$Q$10,$S132),_xll.BDP($B132,X$9,"fill=b","PRICING_SOURCE",$C$6,$AC132,$M$9,$M132,$N$9,$P132,$Q$9,$S132)))</f>
        <v/>
      </c>
      <c r="Y132" s="166" t="str">
        <f>IF(B132="","",IF(OR(AD132="SINKABLE",AD132="CALL/SINK"),_xll.BDP($B132,Y$9,"fill=b","PRICING_SOURCE",$C$6,$AC132,$M$9,$M132,$N$9,$P132,$Q$10,$S132),_xll.BDP($B132,Y$9,"fill=b","PRICING_SOURCE",$C$6,$AC132,$M$9,$M132,$N$9,$P132,$Q$9,$S132)))</f>
        <v/>
      </c>
      <c r="Z132" s="255" t="str">
        <f>IF(B132="","",IF(OR(AD132="SINKABLE",AD132="CALL/SINK"),_xll.BDP($B132,Z$9,"fill=b","PRICING_SOURCE",$C$6,$AC132,$M$9,$M132,$N$9,$P132,$Q$10,$S132),_xll.BDP($B132,Z$9,"fill=b","PRICING_SOURCE",$C$6,$AC132,$M$9,$M132,$N$9,$P132,$Q$9,$S132)))</f>
        <v/>
      </c>
      <c r="AA132" s="166" t="str">
        <f>IF(B132="","",IF(OR(AD132="SINKABLE",AD132="CALL/SINK"),_xll.BDP($B132,AA$9,"fill=b","PRICING_SOURCE",$C$6,$AC132,$M$9,$M132,$N$9,$P132,$Q$10,$S132),_xll.BDP($B132,AA$9,"fill=b","PRICING_SOURCE",$C$6,$AC132,$M$9,$M132,$N$9,$P132,$Q$9,$S132)))</f>
        <v/>
      </c>
      <c r="AB132" s="150" t="str">
        <f>IF(B132="","",IF(LEFT(_xll.BDP($B132,AB$9,"fill=b"),1)="#","-",_xll.BDP($B132,AB$9,"fill=b")))</f>
        <v/>
      </c>
      <c r="AC132" s="150" t="str">
        <f t="shared" si="37"/>
        <v>YLD FLAG=2</v>
      </c>
      <c r="AD132" s="150" t="str">
        <f>IF(B132="","",_xll.BDP($B132,AD$9,"fill=b"))</f>
        <v/>
      </c>
      <c r="AE132" s="256" t="str">
        <f>IF(B132="","",IF(ISERROR(_xll.BDH(B132,"PX LAST",AN132,AN132,"DAYS=ALL","PRICING SOURCE",$C$6)*1),_xll.BDP(B132,"PAR AMT"),_xll.BDH(B132,"PX LAST",AN132,AN132,"DAYS=ALL","PRICING SOURCE",$C$6)))</f>
        <v/>
      </c>
      <c r="AF132" s="150" t="str">
        <f>IF(B132="","",_xll.BDP($B132,AF$9,"fill=b"))</f>
        <v/>
      </c>
      <c r="AG132" s="150"/>
      <c r="AH132" s="190" t="str">
        <f>IF(B132="","",IF($AD132="AT MATURITY",$AB132*1,_xll.BADDPERIODS(_xll.BDP($B132,"issue dt"),"numberofperiods",TRUNC(_xll.BDP($B132,"YRS_TO_LONGEST_AVG_LIFE","YLD_YTM_BID",AF132,"SETTLE_DT",U132,AC132),0),"per=y")+(ROUND(MOD(_xll.BDP(B132,"YRS_TO_LONGEST_AVG_LIFE","YLD_YTM_BID",AF132,"SETTLE_DT",U132,AC132),1)*360,0))))</f>
        <v/>
      </c>
      <c r="AI132" s="150" t="str">
        <f t="array" ref="AI132">IF(B132="","",AF132-_xll.BInterpol(_xll.BDP(_xll.BDS("YCGT0372 Index","curve members","CURVE_DATE", $U132,"endcol=1","array=true"),"maturity")*1,_xll.BDH(_xll.BDS("YCGT0372 Index","curve members","CURVE_DATE", $U132,"endcol=1","array=true"),"yld cnv mid",$U132,$U132,"days=all"),AH132,"CUBIC","Extrapolate=LINEAR","SKIP=TRUE","SORT=TRUE","MultiX=Average"))</f>
        <v/>
      </c>
      <c r="AJ132" s="189" t="str">
        <f t="shared" si="31"/>
        <v/>
      </c>
      <c r="AK132" s="257" t="str">
        <f>IF(B132="","",_xll.BDP($B132,AK$9,"fill=b"))</f>
        <v/>
      </c>
      <c r="AL132" s="257" t="str">
        <f>IF(B132="","",_xll.BDP($B132,AL$9,"fill=b"))</f>
        <v/>
      </c>
      <c r="AM132" s="256" t="str">
        <f>IF(B132="","",_xll.BDP($B132,AM$9,"fill=b"))</f>
        <v/>
      </c>
      <c r="AN132" s="150" t="str">
        <f>IF(B132="","",_xll.BDP($B132,AN$9,"fill=b"))</f>
        <v/>
      </c>
      <c r="AO132" s="150" t="str">
        <f>IF(B132="","",IF(LEFT(_xll.BDP($B132,AO$9,"fill=b"),1)="#","-",_xll.BDP($B132,AO$9,"fill=b")))</f>
        <v/>
      </c>
      <c r="AP132" s="150" t="str">
        <f>IF(B132="","",_xll.BDP($B132,AP$9,"fill=b"))</f>
        <v/>
      </c>
      <c r="AQ132" s="150" t="str">
        <f>IF(B132="","",_xll.BDP($B132,AQ$9,"fill=b"))</f>
        <v/>
      </c>
      <c r="AR132" s="150" t="str">
        <f>IF(B132="","",_xll.BDP($B132,AR$9,"fill=b"))</f>
        <v/>
      </c>
      <c r="AS132" s="150" t="str">
        <f>IF(B132="","",_xll.BDP($B132,AS$9,"fill=b"))</f>
        <v/>
      </c>
      <c r="AT132" s="150" t="str">
        <f>IF(B132="","",_xll.BDP($B132,AT$9,"fill=b"))</f>
        <v/>
      </c>
      <c r="AU132" s="258" t="str">
        <f>IF(B132="","",_xll.BDP($B132,AU$9,"fill=b"))</f>
        <v/>
      </c>
    </row>
    <row r="133" spans="2:47" ht="15" x14ac:dyDescent="0.25">
      <c r="B133" s="232"/>
      <c r="C133" s="150" t="str">
        <f>IF(B133="","",_xll.BDP($B133,C$9,"fill=b"))</f>
        <v/>
      </c>
      <c r="D133" s="150" t="str">
        <f>IF(B133="","",_xll.BDP($B133,D$9,"fill=b"))</f>
        <v/>
      </c>
      <c r="E133" s="150" t="str">
        <f>IF(B133="","",_xll.BDP($B133,E$9,"fill=b"))</f>
        <v/>
      </c>
      <c r="F133" s="150" t="str">
        <f>IF(B133="","",IF(LEFT(_xll.BDP($B133,F$9,"fill=b"),1)="#","-",_xll.BDP($B133,F$9,"fill=b")))</f>
        <v/>
      </c>
      <c r="G133" s="150" t="str">
        <f>IF(B133="","",_xll.BDP($B133,G$9,"fill=b"))</f>
        <v/>
      </c>
      <c r="H133" s="150" t="str">
        <f>IF(B133="","",_xll.BDP($B133,H$9,"fill=b"))</f>
        <v/>
      </c>
      <c r="I133" s="150" t="str" cm="1">
        <f t="array" ref="I133">IF(LEFT(_xlfn.SINGLE(_xll.BDP(B133,"REFERENCE_INDEX")),1)="#",IF(LEFT(_xlfn.SINGLE(_xll.BDP(B133, "RESET_IDX"))&amp;" Index",1)="#","",_xlfn.SINGLE(_xll.BDP(B133, "RESET_IDX"))&amp;" Index"),_xll.BDP(B133,"REFERENCE_INDEX"))</f>
        <v/>
      </c>
      <c r="J133" s="150" t="str">
        <f>IF(I133="BZDIOVRA Index",IF(_xll.BDP(B133,"FLT_SPREAD")/100=0,_xll.BDP(B133,"FLT_BENCH_MULTIPLIER"),_xll.BDP(B133,"FLT_SPREAD")/100),"")</f>
        <v/>
      </c>
      <c r="K133" s="150" t="str">
        <f>IF(B133="","",IF(LEFT(_xll.BDP($B133,K$9,"fill=b"),1)="#","-",_xll.BDP($B133,K$9,"fill=b")))</f>
        <v/>
      </c>
      <c r="L133" s="233"/>
      <c r="M133" s="234" t="str">
        <f t="shared" si="25"/>
        <v/>
      </c>
      <c r="N133" s="252" t="str">
        <f>IF(B133="","",IF(R133="",IF(OR(AD133="SINKABLE",AD133="CALL/SINK"),_xll.BDP(B133,$N$9,$M$9,M133,"PRICING SOURCE",$C$6,"FILL=B"),_xll.BDP(B133,$N$9,$M$9,M133,"PRICING SOURCE",$C$6,"FILL=B")),IF(OR(AD133="SINKABLE",AD133="CALL/SINK"),_xll.BDP(B133,$N$9,$Q$10,S133,$M$9,M133,"PRICING SOURCE",$C$6,"FILL=B"),_xll.BDP(B133,$N$9,$Q$9,S133,$M$9,M133,"PRICING SOURCE",$C$6,"FILL=B"))))</f>
        <v/>
      </c>
      <c r="O133" s="235"/>
      <c r="P133" s="236" t="str">
        <f t="shared" ref="P133:P140" si="38">IF(O133="",N133,O133)</f>
        <v/>
      </c>
      <c r="Q133" s="166" t="str" cm="1">
        <f t="array" ref="Q133">IF(ISERROR((_xlfn.SINGLE(IF(OR(AD133="SINKABLE",AD133="CALL/SINK"),_xll.BDP($B133,$Q$10,"fill=b","PRICING_SOURCE",$C$6,$AC133,$N$9,$P133,$M$9,$M133),_xll.BDP($B133,Q$9,"fill=b","PRICING_SOURCE",$C$6,$AC133,$N$9,$P133,$M$9,$M133))))*1),"",IF(OR(AD133="SINKABLE",AD133="CALL/SINK"),_xll.BDP($B133,$Q$10,"fill=b","PRICING_SOURCE",$C$6,$AC133,$N$9,$P133,$M$9,$M133),_xll.BDP($B133,Q$9,"fill=b","PRICING_SOURCE",$C$6,$AC133,$N$9,$P133,$M$9,$M133)))</f>
        <v/>
      </c>
      <c r="R133" s="237"/>
      <c r="S133" s="238" t="str">
        <f t="shared" ref="S133:S140" si="39">IF(R133="",Q133,R133)</f>
        <v/>
      </c>
      <c r="T133" s="239" t="str" cm="1">
        <f t="array" ref="T133">IF(ISERROR((_xlfn.SINGLE(IF(OR(AD133="SINKABLE",AD133="CALL/SINK"),_xll.BDP($B133,$Q$10,"fill=b","PRICING_SOURCE",$C$6,$AC133,$M$9,$U133,"px ask",$AE133),_xll.BDP($B133,Q$9,"fill=b","PRICING_SOURCE",$C$6,$AC133,$M$9,$U133,"px ask",$AE133))))*1),"",IF(OR(AD133="SINKABLE",AD133="CALL/SINK"),_xll.BDP($B133,$Q$10,"fill=b","PRICING_SOURCE",$C$6,$AC133,$M$9,$U133,"px ask",$AE133),_xll.BDP($B133,Q$9,"fill=b","PRICING_SOURCE",$C$6,$AC133,$M$9,$U133,"px ask",$AE133)))</f>
        <v/>
      </c>
      <c r="U133" s="240" t="str">
        <f t="shared" si="29"/>
        <v/>
      </c>
      <c r="V133" s="254" t="str">
        <f>IF(B133="","",IF(I133="BZDIOVRA Index",IF(OR(AD133="SINKABLE",AD133="CALL/SINK"),_xll.BDP($B133,"PX_ASK",$Q$10,J133,$M$9,M133),_xll.BDP($B133,"PX_"&amp;$H$7,$Q$9,J133,$M$9,M133)),_xll.BDP($B133,"PX_"&amp;$H$7,$Q$9,_xll.BDP(B133,"CPN"),$M$9,M133)))</f>
        <v/>
      </c>
      <c r="W133" s="254" t="str">
        <f t="shared" si="30"/>
        <v/>
      </c>
      <c r="X133" s="166" t="str">
        <f>IF(B133="","",IF(OR(AD133="SINKABLE",AD133="CALL/SINK"),_xll.BDP($B133,X$9,"fill=b","PRICING_SOURCE",$C$6,$AC133,$M$9,$M133,$N$9,$P133,$Q$10,$S133),_xll.BDP($B133,X$9,"fill=b","PRICING_SOURCE",$C$6,$AC133,$M$9,$M133,$N$9,$P133,$Q$9,$S133)))</f>
        <v/>
      </c>
      <c r="Y133" s="166" t="str">
        <f>IF(B133="","",IF(OR(AD133="SINKABLE",AD133="CALL/SINK"),_xll.BDP($B133,Y$9,"fill=b","PRICING_SOURCE",$C$6,$AC133,$M$9,$M133,$N$9,$P133,$Q$10,$S133),_xll.BDP($B133,Y$9,"fill=b","PRICING_SOURCE",$C$6,$AC133,$M$9,$M133,$N$9,$P133,$Q$9,$S133)))</f>
        <v/>
      </c>
      <c r="Z133" s="255" t="str">
        <f>IF(B133="","",IF(OR(AD133="SINKABLE",AD133="CALL/SINK"),_xll.BDP($B133,Z$9,"fill=b","PRICING_SOURCE",$C$6,$AC133,$M$9,$M133,$N$9,$P133,$Q$10,$S133),_xll.BDP($B133,Z$9,"fill=b","PRICING_SOURCE",$C$6,$AC133,$M$9,$M133,$N$9,$P133,$Q$9,$S133)))</f>
        <v/>
      </c>
      <c r="AA133" s="166" t="str">
        <f>IF(B133="","",IF(OR(AD133="SINKABLE",AD133="CALL/SINK"),_xll.BDP($B133,AA$9,"fill=b","PRICING_SOURCE",$C$6,$AC133,$M$9,$M133,$N$9,$P133,$Q$10,$S133),_xll.BDP($B133,AA$9,"fill=b","PRICING_SOURCE",$C$6,$AC133,$M$9,$M133,$N$9,$P133,$Q$9,$S133)))</f>
        <v/>
      </c>
      <c r="AB133" s="150" t="str">
        <f>IF(B133="","",IF(LEFT(_xll.BDP($B133,AB$9,"fill=b"),1)="#","-",_xll.BDP($B133,AB$9,"fill=b")))</f>
        <v/>
      </c>
      <c r="AC133" s="150" t="str">
        <f t="shared" ref="AC133:AC140" si="40">IF(OR(AD133="SINKABLE",AD133="CALL/SINK"),"YLD FLAG=28",IF(OR(AD133="AT MATURITY",AD133="CALLABLE"),"YLD FLAG=1","YLD FLAG=2"))</f>
        <v>YLD FLAG=2</v>
      </c>
      <c r="AD133" s="150" t="str">
        <f>IF(B133="","",_xll.BDP($B133,AD$9,"fill=b"))</f>
        <v/>
      </c>
      <c r="AE133" s="256" t="str">
        <f>IF(B133="","",IF(ISERROR(_xll.BDH(B133,"PX LAST",AN133,AN133,"DAYS=ALL","PRICING SOURCE",$C$6)*1),_xll.BDP(B133,"PAR AMT"),_xll.BDH(B133,"PX LAST",AN133,AN133,"DAYS=ALL","PRICING SOURCE",$C$6)))</f>
        <v/>
      </c>
      <c r="AF133" s="150" t="str">
        <f>IF(B133="","",_xll.BDP($B133,AF$9,"fill=b"))</f>
        <v/>
      </c>
      <c r="AG133" s="150"/>
      <c r="AH133" s="190" t="str">
        <f>IF(B133="","",IF($AD133="AT MATURITY",$AB133*1,_xll.BADDPERIODS(_xll.BDP($B133,"issue dt"),"numberofperiods",TRUNC(_xll.BDP($B133,"YRS_TO_LONGEST_AVG_LIFE","YLD_YTM_BID",AF133,"SETTLE_DT",U133,AC133),0),"per=y")+(ROUND(MOD(_xll.BDP(B133,"YRS_TO_LONGEST_AVG_LIFE","YLD_YTM_BID",AF133,"SETTLE_DT",U133,AC133),1)*360,0))))</f>
        <v/>
      </c>
      <c r="AI133" s="150" t="str">
        <f t="array" ref="AI133">IF(B133="","",AF133-_xll.BInterpol(_xll.BDP(_xll.BDS("YCGT0372 Index","curve members","CURVE_DATE", $U133,"endcol=1","array=true"),"maturity")*1,_xll.BDH(_xll.BDS("YCGT0372 Index","curve members","CURVE_DATE", $U133,"endcol=1","array=true"),"yld cnv mid",$U133,$U133,"days=all"),AH133,"CUBIC","Extrapolate=LINEAR","SKIP=TRUE","SORT=TRUE","MultiX=Average"))</f>
        <v/>
      </c>
      <c r="AJ133" s="189" t="str">
        <f t="shared" si="31"/>
        <v/>
      </c>
      <c r="AK133" s="257" t="str">
        <f>IF(B133="","",_xll.BDP($B133,AK$9,"fill=b"))</f>
        <v/>
      </c>
      <c r="AL133" s="257" t="str">
        <f>IF(B133="","",_xll.BDP($B133,AL$9,"fill=b"))</f>
        <v/>
      </c>
      <c r="AM133" s="256" t="str">
        <f>IF(B133="","",_xll.BDP($B133,AM$9,"fill=b"))</f>
        <v/>
      </c>
      <c r="AN133" s="150" t="str">
        <f>IF(B133="","",_xll.BDP($B133,AN$9,"fill=b"))</f>
        <v/>
      </c>
      <c r="AO133" s="150" t="str">
        <f>IF(B133="","",IF(LEFT(_xll.BDP($B133,AO$9,"fill=b"),1)="#","-",_xll.BDP($B133,AO$9,"fill=b")))</f>
        <v/>
      </c>
      <c r="AP133" s="150" t="str">
        <f>IF(B133="","",_xll.BDP($B133,AP$9,"fill=b"))</f>
        <v/>
      </c>
      <c r="AQ133" s="150" t="str">
        <f>IF(B133="","",_xll.BDP($B133,AQ$9,"fill=b"))</f>
        <v/>
      </c>
      <c r="AR133" s="150" t="str">
        <f>IF(B133="","",_xll.BDP($B133,AR$9,"fill=b"))</f>
        <v/>
      </c>
      <c r="AS133" s="150" t="str">
        <f>IF(B133="","",_xll.BDP($B133,AS$9,"fill=b"))</f>
        <v/>
      </c>
      <c r="AT133" s="150" t="str">
        <f>IF(B133="","",_xll.BDP($B133,AT$9,"fill=b"))</f>
        <v/>
      </c>
      <c r="AU133" s="258" t="str">
        <f>IF(B133="","",_xll.BDP($B133,AU$9,"fill=b"))</f>
        <v/>
      </c>
    </row>
    <row r="134" spans="2:47" ht="15" x14ac:dyDescent="0.25">
      <c r="B134" s="232"/>
      <c r="C134" s="150" t="str">
        <f>IF(B134="","",_xll.BDP($B134,C$9,"fill=b"))</f>
        <v/>
      </c>
      <c r="D134" s="150" t="str">
        <f>IF(B134="","",_xll.BDP($B134,D$9,"fill=b"))</f>
        <v/>
      </c>
      <c r="E134" s="150" t="str">
        <f>IF(B134="","",_xll.BDP($B134,E$9,"fill=b"))</f>
        <v/>
      </c>
      <c r="F134" s="150" t="str">
        <f>IF(B134="","",IF(LEFT(_xll.BDP($B134,F$9,"fill=b"),1)="#","-",_xll.BDP($B134,F$9,"fill=b")))</f>
        <v/>
      </c>
      <c r="G134" s="150" t="str">
        <f>IF(B134="","",_xll.BDP($B134,G$9,"fill=b"))</f>
        <v/>
      </c>
      <c r="H134" s="150" t="str">
        <f>IF(B134="","",_xll.BDP($B134,H$9,"fill=b"))</f>
        <v/>
      </c>
      <c r="I134" s="150" t="str" cm="1">
        <f t="array" ref="I134">IF(LEFT(_xlfn.SINGLE(_xll.BDP(B134,"REFERENCE_INDEX")),1)="#",IF(LEFT(_xlfn.SINGLE(_xll.BDP(B134, "RESET_IDX"))&amp;" Index",1)="#","",_xlfn.SINGLE(_xll.BDP(B134, "RESET_IDX"))&amp;" Index"),_xll.BDP(B134,"REFERENCE_INDEX"))</f>
        <v/>
      </c>
      <c r="J134" s="150" t="str">
        <f>IF(I134="BZDIOVRA Index",IF(_xll.BDP(B134,"FLT_SPREAD")/100=0,_xll.BDP(B134,"FLT_BENCH_MULTIPLIER"),_xll.BDP(B134,"FLT_SPREAD")/100),"")</f>
        <v/>
      </c>
      <c r="K134" s="150" t="str">
        <f>IF(B134="","",IF(LEFT(_xll.BDP($B134,K$9,"fill=b"),1)="#","-",_xll.BDP($B134,K$9,"fill=b")))</f>
        <v/>
      </c>
      <c r="L134" s="233"/>
      <c r="M134" s="234" t="str">
        <f t="shared" si="25"/>
        <v/>
      </c>
      <c r="N134" s="252" t="str">
        <f>IF(B134="","",IF(R134="",IF(OR(AD134="SINKABLE",AD134="CALL/SINK"),_xll.BDP(B134,$N$9,$M$9,M134,"PRICING SOURCE",$C$6,"FILL=B"),_xll.BDP(B134,$N$9,$M$9,M134,"PRICING SOURCE",$C$6,"FILL=B")),IF(OR(AD134="SINKABLE",AD134="CALL/SINK"),_xll.BDP(B134,$N$9,$Q$10,S134,$M$9,M134,"PRICING SOURCE",$C$6,"FILL=B"),_xll.BDP(B134,$N$9,$Q$9,S134,$M$9,M134,"PRICING SOURCE",$C$6,"FILL=B"))))</f>
        <v/>
      </c>
      <c r="O134" s="235"/>
      <c r="P134" s="236" t="str">
        <f t="shared" si="38"/>
        <v/>
      </c>
      <c r="Q134" s="166" t="str" cm="1">
        <f t="array" ref="Q134">IF(ISERROR((_xlfn.SINGLE(IF(OR(AD134="SINKABLE",AD134="CALL/SINK"),_xll.BDP($B134,$Q$10,"fill=b","PRICING_SOURCE",$C$6,$AC134,$N$9,$P134,$M$9,$M134),_xll.BDP($B134,Q$9,"fill=b","PRICING_SOURCE",$C$6,$AC134,$N$9,$P134,$M$9,$M134))))*1),"",IF(OR(AD134="SINKABLE",AD134="CALL/SINK"),_xll.BDP($B134,$Q$10,"fill=b","PRICING_SOURCE",$C$6,$AC134,$N$9,$P134,$M$9,$M134),_xll.BDP($B134,Q$9,"fill=b","PRICING_SOURCE",$C$6,$AC134,$N$9,$P134,$M$9,$M134)))</f>
        <v/>
      </c>
      <c r="R134" s="237"/>
      <c r="S134" s="238" t="str">
        <f t="shared" si="39"/>
        <v/>
      </c>
      <c r="T134" s="239" t="str" cm="1">
        <f t="array" ref="T134">IF(ISERROR((_xlfn.SINGLE(IF(OR(AD134="SINKABLE",AD134="CALL/SINK"),_xll.BDP($B134,$Q$10,"fill=b","PRICING_SOURCE",$C$6,$AC134,$M$9,$U134,"px ask",$AE134),_xll.BDP($B134,Q$9,"fill=b","PRICING_SOURCE",$C$6,$AC134,$M$9,$U134,"px ask",$AE134))))*1),"",IF(OR(AD134="SINKABLE",AD134="CALL/SINK"),_xll.BDP($B134,$Q$10,"fill=b","PRICING_SOURCE",$C$6,$AC134,$M$9,$U134,"px ask",$AE134),_xll.BDP($B134,Q$9,"fill=b","PRICING_SOURCE",$C$6,$AC134,$M$9,$U134,"px ask",$AE134)))</f>
        <v/>
      </c>
      <c r="U134" s="240" t="str">
        <f t="shared" si="29"/>
        <v/>
      </c>
      <c r="V134" s="254" t="str">
        <f>IF(B134="","",IF(I134="BZDIOVRA Index",IF(OR(AD134="SINKABLE",AD134="CALL/SINK"),_xll.BDP($B134,"PX_ASK",$Q$10,J134,$M$9,M134),_xll.BDP($B134,"PX_"&amp;$H$7,$Q$9,J134,$M$9,M134)),_xll.BDP($B134,"PX_"&amp;$H$7,$Q$9,_xll.BDP(B134,"CPN"),$M$9,M134)))</f>
        <v/>
      </c>
      <c r="W134" s="254" t="str">
        <f t="shared" si="30"/>
        <v/>
      </c>
      <c r="X134" s="166" t="str">
        <f>IF(B134="","",IF(OR(AD134="SINKABLE",AD134="CALL/SINK"),_xll.BDP($B134,X$9,"fill=b","PRICING_SOURCE",$C$6,$AC134,$M$9,$M134,$N$9,$P134,$Q$10,$S134),_xll.BDP($B134,X$9,"fill=b","PRICING_SOURCE",$C$6,$AC134,$M$9,$M134,$N$9,$P134,$Q$9,$S134)))</f>
        <v/>
      </c>
      <c r="Y134" s="166" t="str">
        <f>IF(B134="","",IF(OR(AD134="SINKABLE",AD134="CALL/SINK"),_xll.BDP($B134,Y$9,"fill=b","PRICING_SOURCE",$C$6,$AC134,$M$9,$M134,$N$9,$P134,$Q$10,$S134),_xll.BDP($B134,Y$9,"fill=b","PRICING_SOURCE",$C$6,$AC134,$M$9,$M134,$N$9,$P134,$Q$9,$S134)))</f>
        <v/>
      </c>
      <c r="Z134" s="255" t="str">
        <f>IF(B134="","",IF(OR(AD134="SINKABLE",AD134="CALL/SINK"),_xll.BDP($B134,Z$9,"fill=b","PRICING_SOURCE",$C$6,$AC134,$M$9,$M134,$N$9,$P134,$Q$10,$S134),_xll.BDP($B134,Z$9,"fill=b","PRICING_SOURCE",$C$6,$AC134,$M$9,$M134,$N$9,$P134,$Q$9,$S134)))</f>
        <v/>
      </c>
      <c r="AA134" s="166" t="str">
        <f>IF(B134="","",IF(OR(AD134="SINKABLE",AD134="CALL/SINK"),_xll.BDP($B134,AA$9,"fill=b","PRICING_SOURCE",$C$6,$AC134,$M$9,$M134,$N$9,$P134,$Q$10,$S134),_xll.BDP($B134,AA$9,"fill=b","PRICING_SOURCE",$C$6,$AC134,$M$9,$M134,$N$9,$P134,$Q$9,$S134)))</f>
        <v/>
      </c>
      <c r="AB134" s="150" t="str">
        <f>IF(B134="","",IF(LEFT(_xll.BDP($B134,AB$9,"fill=b"),1)="#","-",_xll.BDP($B134,AB$9,"fill=b")))</f>
        <v/>
      </c>
      <c r="AC134" s="150" t="str">
        <f t="shared" si="40"/>
        <v>YLD FLAG=2</v>
      </c>
      <c r="AD134" s="150" t="str">
        <f>IF(B134="","",_xll.BDP($B134,AD$9,"fill=b"))</f>
        <v/>
      </c>
      <c r="AE134" s="256" t="str">
        <f>IF(B134="","",IF(ISERROR(_xll.BDH(B134,"PX LAST",AN134,AN134,"DAYS=ALL","PRICING SOURCE",$C$6)*1),_xll.BDP(B134,"PAR AMT"),_xll.BDH(B134,"PX LAST",AN134,AN134,"DAYS=ALL","PRICING SOURCE",$C$6)))</f>
        <v/>
      </c>
      <c r="AF134" s="150" t="str">
        <f>IF(B134="","",_xll.BDP($B134,AF$9,"fill=b"))</f>
        <v/>
      </c>
      <c r="AG134" s="150"/>
      <c r="AH134" s="190" t="str">
        <f>IF(B134="","",IF($AD134="AT MATURITY",$AB134*1,_xll.BADDPERIODS(_xll.BDP($B134,"issue dt"),"numberofperiods",TRUNC(_xll.BDP($B134,"YRS_TO_LONGEST_AVG_LIFE","YLD_YTM_BID",AF134,"SETTLE_DT",U134,AC134),0),"per=y")+(ROUND(MOD(_xll.BDP(B134,"YRS_TO_LONGEST_AVG_LIFE","YLD_YTM_BID",AF134,"SETTLE_DT",U134,AC134),1)*360,0))))</f>
        <v/>
      </c>
      <c r="AI134" s="150" t="str">
        <f t="array" ref="AI134">IF(B134="","",AF134-_xll.BInterpol(_xll.BDP(_xll.BDS("YCGT0372 Index","curve members","CURVE_DATE", $U134,"endcol=1","array=true"),"maturity")*1,_xll.BDH(_xll.BDS("YCGT0372 Index","curve members","CURVE_DATE", $U134,"endcol=1","array=true"),"yld cnv mid",$U134,$U134,"days=all"),AH134,"CUBIC","Extrapolate=LINEAR","SKIP=TRUE","SORT=TRUE","MultiX=Average"))</f>
        <v/>
      </c>
      <c r="AJ134" s="189" t="str">
        <f t="shared" si="31"/>
        <v/>
      </c>
      <c r="AK134" s="257" t="str">
        <f>IF(B134="","",_xll.BDP($B134,AK$9,"fill=b"))</f>
        <v/>
      </c>
      <c r="AL134" s="257" t="str">
        <f>IF(B134="","",_xll.BDP($B134,AL$9,"fill=b"))</f>
        <v/>
      </c>
      <c r="AM134" s="256" t="str">
        <f>IF(B134="","",_xll.BDP($B134,AM$9,"fill=b"))</f>
        <v/>
      </c>
      <c r="AN134" s="150" t="str">
        <f>IF(B134="","",_xll.BDP($B134,AN$9,"fill=b"))</f>
        <v/>
      </c>
      <c r="AO134" s="150" t="str">
        <f>IF(B134="","",IF(LEFT(_xll.BDP($B134,AO$9,"fill=b"),1)="#","-",_xll.BDP($B134,AO$9,"fill=b")))</f>
        <v/>
      </c>
      <c r="AP134" s="150" t="str">
        <f>IF(B134="","",_xll.BDP($B134,AP$9,"fill=b"))</f>
        <v/>
      </c>
      <c r="AQ134" s="150" t="str">
        <f>IF(B134="","",_xll.BDP($B134,AQ$9,"fill=b"))</f>
        <v/>
      </c>
      <c r="AR134" s="150" t="str">
        <f>IF(B134="","",_xll.BDP($B134,AR$9,"fill=b"))</f>
        <v/>
      </c>
      <c r="AS134" s="150" t="str">
        <f>IF(B134="","",_xll.BDP($B134,AS$9,"fill=b"))</f>
        <v/>
      </c>
      <c r="AT134" s="150" t="str">
        <f>IF(B134="","",_xll.BDP($B134,AT$9,"fill=b"))</f>
        <v/>
      </c>
      <c r="AU134" s="258" t="str">
        <f>IF(B134="","",_xll.BDP($B134,AU$9,"fill=b"))</f>
        <v/>
      </c>
    </row>
    <row r="135" spans="2:47" ht="15" x14ac:dyDescent="0.25">
      <c r="B135" s="232"/>
      <c r="C135" s="150" t="str">
        <f>IF(B135="","",_xll.BDP($B135,C$9,"fill=b"))</f>
        <v/>
      </c>
      <c r="D135" s="150" t="str">
        <f>IF(B135="","",_xll.BDP($B135,D$9,"fill=b"))</f>
        <v/>
      </c>
      <c r="E135" s="150" t="str">
        <f>IF(B135="","",_xll.BDP($B135,E$9,"fill=b"))</f>
        <v/>
      </c>
      <c r="F135" s="150" t="str">
        <f>IF(B135="","",IF(LEFT(_xll.BDP($B135,F$9,"fill=b"),1)="#","-",_xll.BDP($B135,F$9,"fill=b")))</f>
        <v/>
      </c>
      <c r="G135" s="150" t="str">
        <f>IF(B135="","",_xll.BDP($B135,G$9,"fill=b"))</f>
        <v/>
      </c>
      <c r="H135" s="150" t="str">
        <f>IF(B135="","",_xll.BDP($B135,H$9,"fill=b"))</f>
        <v/>
      </c>
      <c r="I135" s="150" t="str" cm="1">
        <f t="array" ref="I135">IF(LEFT(_xlfn.SINGLE(_xll.BDP(B135,"REFERENCE_INDEX")),1)="#",IF(LEFT(_xlfn.SINGLE(_xll.BDP(B135, "RESET_IDX"))&amp;" Index",1)="#","",_xlfn.SINGLE(_xll.BDP(B135, "RESET_IDX"))&amp;" Index"),_xll.BDP(B135,"REFERENCE_INDEX"))</f>
        <v/>
      </c>
      <c r="J135" s="150" t="str">
        <f>IF(I135="BZDIOVRA Index",IF(_xll.BDP(B135,"FLT_SPREAD")/100=0,_xll.BDP(B135,"FLT_BENCH_MULTIPLIER"),_xll.BDP(B135,"FLT_SPREAD")/100),"")</f>
        <v/>
      </c>
      <c r="K135" s="150" t="str">
        <f>IF(B135="","",IF(LEFT(_xll.BDP($B135,K$9,"fill=b"),1)="#","-",_xll.BDP($B135,K$9,"fill=b")))</f>
        <v/>
      </c>
      <c r="L135" s="233"/>
      <c r="M135" s="234" t="str">
        <f t="shared" si="25"/>
        <v/>
      </c>
      <c r="N135" s="252" t="str">
        <f>IF(B135="","",IF(R135="",IF(OR(AD135="SINKABLE",AD135="CALL/SINK"),_xll.BDP(B135,$N$9,$M$9,M135,"PRICING SOURCE",$C$6,"FILL=B"),_xll.BDP(B135,$N$9,$M$9,M135,"PRICING SOURCE",$C$6,"FILL=B")),IF(OR(AD135="SINKABLE",AD135="CALL/SINK"),_xll.BDP(B135,$N$9,$Q$10,S135,$M$9,M135,"PRICING SOURCE",$C$6,"FILL=B"),_xll.BDP(B135,$N$9,$Q$9,S135,$M$9,M135,"PRICING SOURCE",$C$6,"FILL=B"))))</f>
        <v/>
      </c>
      <c r="O135" s="235"/>
      <c r="P135" s="236" t="str">
        <f t="shared" si="38"/>
        <v/>
      </c>
      <c r="Q135" s="166" t="str" cm="1">
        <f t="array" ref="Q135">IF(ISERROR((_xlfn.SINGLE(IF(OR(AD135="SINKABLE",AD135="CALL/SINK"),_xll.BDP($B135,$Q$10,"fill=b","PRICING_SOURCE",$C$6,$AC135,$N$9,$P135,$M$9,$M135),_xll.BDP($B135,Q$9,"fill=b","PRICING_SOURCE",$C$6,$AC135,$N$9,$P135,$M$9,$M135))))*1),"",IF(OR(AD135="SINKABLE",AD135="CALL/SINK"),_xll.BDP($B135,$Q$10,"fill=b","PRICING_SOURCE",$C$6,$AC135,$N$9,$P135,$M$9,$M135),_xll.BDP($B135,Q$9,"fill=b","PRICING_SOURCE",$C$6,$AC135,$N$9,$P135,$M$9,$M135)))</f>
        <v/>
      </c>
      <c r="R135" s="237"/>
      <c r="S135" s="238" t="str">
        <f t="shared" si="39"/>
        <v/>
      </c>
      <c r="T135" s="239" t="str" cm="1">
        <f t="array" ref="T135">IF(ISERROR((_xlfn.SINGLE(IF(OR(AD135="SINKABLE",AD135="CALL/SINK"),_xll.BDP($B135,$Q$10,"fill=b","PRICING_SOURCE",$C$6,$AC135,$M$9,$U135,"px ask",$AE135),_xll.BDP($B135,Q$9,"fill=b","PRICING_SOURCE",$C$6,$AC135,$M$9,$U135,"px ask",$AE135))))*1),"",IF(OR(AD135="SINKABLE",AD135="CALL/SINK"),_xll.BDP($B135,$Q$10,"fill=b","PRICING_SOURCE",$C$6,$AC135,$M$9,$U135,"px ask",$AE135),_xll.BDP($B135,Q$9,"fill=b","PRICING_SOURCE",$C$6,$AC135,$M$9,$U135,"px ask",$AE135)))</f>
        <v/>
      </c>
      <c r="U135" s="240" t="str">
        <f t="shared" si="29"/>
        <v/>
      </c>
      <c r="V135" s="254" t="str">
        <f>IF(B135="","",IF(I135="BZDIOVRA Index",IF(OR(AD135="SINKABLE",AD135="CALL/SINK"),_xll.BDP($B135,"PX_ASK",$Q$10,J135,$M$9,M135),_xll.BDP($B135,"PX_"&amp;$H$7,$Q$9,J135,$M$9,M135)),_xll.BDP($B135,"PX_"&amp;$H$7,$Q$9,_xll.BDP(B135,"CPN"),$M$9,M135)))</f>
        <v/>
      </c>
      <c r="W135" s="254" t="str">
        <f t="shared" si="30"/>
        <v/>
      </c>
      <c r="X135" s="166" t="str">
        <f>IF(B135="","",IF(OR(AD135="SINKABLE",AD135="CALL/SINK"),_xll.BDP($B135,X$9,"fill=b","PRICING_SOURCE",$C$6,$AC135,$M$9,$M135,$N$9,$P135,$Q$10,$S135),_xll.BDP($B135,X$9,"fill=b","PRICING_SOURCE",$C$6,$AC135,$M$9,$M135,$N$9,$P135,$Q$9,$S135)))</f>
        <v/>
      </c>
      <c r="Y135" s="166" t="str">
        <f>IF(B135="","",IF(OR(AD135="SINKABLE",AD135="CALL/SINK"),_xll.BDP($B135,Y$9,"fill=b","PRICING_SOURCE",$C$6,$AC135,$M$9,$M135,$N$9,$P135,$Q$10,$S135),_xll.BDP($B135,Y$9,"fill=b","PRICING_SOURCE",$C$6,$AC135,$M$9,$M135,$N$9,$P135,$Q$9,$S135)))</f>
        <v/>
      </c>
      <c r="Z135" s="255" t="str">
        <f>IF(B135="","",IF(OR(AD135="SINKABLE",AD135="CALL/SINK"),_xll.BDP($B135,Z$9,"fill=b","PRICING_SOURCE",$C$6,$AC135,$M$9,$M135,$N$9,$P135,$Q$10,$S135),_xll.BDP($B135,Z$9,"fill=b","PRICING_SOURCE",$C$6,$AC135,$M$9,$M135,$N$9,$P135,$Q$9,$S135)))</f>
        <v/>
      </c>
      <c r="AA135" s="166" t="str">
        <f>IF(B135="","",IF(OR(AD135="SINKABLE",AD135="CALL/SINK"),_xll.BDP($B135,AA$9,"fill=b","PRICING_SOURCE",$C$6,$AC135,$M$9,$M135,$N$9,$P135,$Q$10,$S135),_xll.BDP($B135,AA$9,"fill=b","PRICING_SOURCE",$C$6,$AC135,$M$9,$M135,$N$9,$P135,$Q$9,$S135)))</f>
        <v/>
      </c>
      <c r="AB135" s="150" t="str">
        <f>IF(B135="","",IF(LEFT(_xll.BDP($B135,AB$9,"fill=b"),1)="#","-",_xll.BDP($B135,AB$9,"fill=b")))</f>
        <v/>
      </c>
      <c r="AC135" s="150" t="str">
        <f t="shared" si="40"/>
        <v>YLD FLAG=2</v>
      </c>
      <c r="AD135" s="150" t="str">
        <f>IF(B135="","",_xll.BDP($B135,AD$9,"fill=b"))</f>
        <v/>
      </c>
      <c r="AE135" s="256" t="str">
        <f>IF(B135="","",IF(ISERROR(_xll.BDH(B135,"PX LAST",AN135,AN135,"DAYS=ALL","PRICING SOURCE",$C$6)*1),_xll.BDP(B135,"PAR AMT"),_xll.BDH(B135,"PX LAST",AN135,AN135,"DAYS=ALL","PRICING SOURCE",$C$6)))</f>
        <v/>
      </c>
      <c r="AF135" s="150" t="str">
        <f>IF(B135="","",_xll.BDP($B135,AF$9,"fill=b"))</f>
        <v/>
      </c>
      <c r="AG135" s="150"/>
      <c r="AH135" s="190" t="str">
        <f>IF(B135="","",IF($AD135="AT MATURITY",$AB135*1,_xll.BADDPERIODS(_xll.BDP($B135,"issue dt"),"numberofperiods",TRUNC(_xll.BDP($B135,"YRS_TO_LONGEST_AVG_LIFE","YLD_YTM_BID",AF135,"SETTLE_DT",U135,AC135),0),"per=y")+(ROUND(MOD(_xll.BDP(B135,"YRS_TO_LONGEST_AVG_LIFE","YLD_YTM_BID",AF135,"SETTLE_DT",U135,AC135),1)*360,0))))</f>
        <v/>
      </c>
      <c r="AI135" s="150" t="str">
        <f t="array" ref="AI135">IF(B135="","",AF135-_xll.BInterpol(_xll.BDP(_xll.BDS("YCGT0372 Index","curve members","CURVE_DATE", $U135,"endcol=1","array=true"),"maturity")*1,_xll.BDH(_xll.BDS("YCGT0372 Index","curve members","CURVE_DATE", $U135,"endcol=1","array=true"),"yld cnv mid",$U135,$U135,"days=all"),AH135,"CUBIC","Extrapolate=LINEAR","SKIP=TRUE","SORT=TRUE","MultiX=Average"))</f>
        <v/>
      </c>
      <c r="AJ135" s="189" t="str">
        <f t="shared" si="31"/>
        <v/>
      </c>
      <c r="AK135" s="257" t="str">
        <f>IF(B135="","",_xll.BDP($B135,AK$9,"fill=b"))</f>
        <v/>
      </c>
      <c r="AL135" s="257" t="str">
        <f>IF(B135="","",_xll.BDP($B135,AL$9,"fill=b"))</f>
        <v/>
      </c>
      <c r="AM135" s="256" t="str">
        <f>IF(B135="","",_xll.BDP($B135,AM$9,"fill=b"))</f>
        <v/>
      </c>
      <c r="AN135" s="150" t="str">
        <f>IF(B135="","",_xll.BDP($B135,AN$9,"fill=b"))</f>
        <v/>
      </c>
      <c r="AO135" s="150" t="str">
        <f>IF(B135="","",IF(LEFT(_xll.BDP($B135,AO$9,"fill=b"),1)="#","-",_xll.BDP($B135,AO$9,"fill=b")))</f>
        <v/>
      </c>
      <c r="AP135" s="150" t="str">
        <f>IF(B135="","",_xll.BDP($B135,AP$9,"fill=b"))</f>
        <v/>
      </c>
      <c r="AQ135" s="150" t="str">
        <f>IF(B135="","",_xll.BDP($B135,AQ$9,"fill=b"))</f>
        <v/>
      </c>
      <c r="AR135" s="150" t="str">
        <f>IF(B135="","",_xll.BDP($B135,AR$9,"fill=b"))</f>
        <v/>
      </c>
      <c r="AS135" s="150" t="str">
        <f>IF(B135="","",_xll.BDP($B135,AS$9,"fill=b"))</f>
        <v/>
      </c>
      <c r="AT135" s="150" t="str">
        <f>IF(B135="","",_xll.BDP($B135,AT$9,"fill=b"))</f>
        <v/>
      </c>
      <c r="AU135" s="258" t="str">
        <f>IF(B135="","",_xll.BDP($B135,AU$9,"fill=b"))</f>
        <v/>
      </c>
    </row>
    <row r="136" spans="2:47" ht="15" x14ac:dyDescent="0.25">
      <c r="B136" s="232"/>
      <c r="C136" s="150" t="str">
        <f>IF(B136="","",_xll.BDP($B136,C$9,"fill=b"))</f>
        <v/>
      </c>
      <c r="D136" s="150" t="str">
        <f>IF(B136="","",_xll.BDP($B136,D$9,"fill=b"))</f>
        <v/>
      </c>
      <c r="E136" s="150" t="str">
        <f>IF(B136="","",_xll.BDP($B136,E$9,"fill=b"))</f>
        <v/>
      </c>
      <c r="F136" s="150" t="str">
        <f>IF(B136="","",IF(LEFT(_xll.BDP($B136,F$9,"fill=b"),1)="#","-",_xll.BDP($B136,F$9,"fill=b")))</f>
        <v/>
      </c>
      <c r="G136" s="150" t="str">
        <f>IF(B136="","",_xll.BDP($B136,G$9,"fill=b"))</f>
        <v/>
      </c>
      <c r="H136" s="150" t="str">
        <f>IF(B136="","",_xll.BDP($B136,H$9,"fill=b"))</f>
        <v/>
      </c>
      <c r="I136" s="150" t="str" cm="1">
        <f t="array" ref="I136">IF(LEFT(_xlfn.SINGLE(_xll.BDP(B136,"REFERENCE_INDEX")),1)="#",IF(LEFT(_xlfn.SINGLE(_xll.BDP(B136, "RESET_IDX"))&amp;" Index",1)="#","",_xlfn.SINGLE(_xll.BDP(B136, "RESET_IDX"))&amp;" Index"),_xll.BDP(B136,"REFERENCE_INDEX"))</f>
        <v/>
      </c>
      <c r="J136" s="150" t="str">
        <f>IF(I136="BZDIOVRA Index",IF(_xll.BDP(B136,"FLT_SPREAD")/100=0,_xll.BDP(B136,"FLT_BENCH_MULTIPLIER"),_xll.BDP(B136,"FLT_SPREAD")/100),"")</f>
        <v/>
      </c>
      <c r="K136" s="150" t="str">
        <f>IF(B136="","",IF(LEFT(_xll.BDP($B136,K$9,"fill=b"),1)="#","-",_xll.BDP($B136,K$9,"fill=b")))</f>
        <v/>
      </c>
      <c r="L136" s="233"/>
      <c r="M136" s="234" t="str">
        <f t="shared" si="25"/>
        <v/>
      </c>
      <c r="N136" s="252" t="str">
        <f>IF(B136="","",IF(R136="",IF(OR(AD136="SINKABLE",AD136="CALL/SINK"),_xll.BDP(B136,$N$9,$M$9,M136,"PRICING SOURCE",$C$6,"FILL=B"),_xll.BDP(B136,$N$9,$M$9,M136,"PRICING SOURCE",$C$6,"FILL=B")),IF(OR(AD136="SINKABLE",AD136="CALL/SINK"),_xll.BDP(B136,$N$9,$Q$10,S136,$M$9,M136,"PRICING SOURCE",$C$6,"FILL=B"),_xll.BDP(B136,$N$9,$Q$9,S136,$M$9,M136,"PRICING SOURCE",$C$6,"FILL=B"))))</f>
        <v/>
      </c>
      <c r="O136" s="235"/>
      <c r="P136" s="236" t="str">
        <f t="shared" si="38"/>
        <v/>
      </c>
      <c r="Q136" s="166" t="str" cm="1">
        <f t="array" ref="Q136">IF(ISERROR((_xlfn.SINGLE(IF(OR(AD136="SINKABLE",AD136="CALL/SINK"),_xll.BDP($B136,$Q$10,"fill=b","PRICING_SOURCE",$C$6,$AC136,$N$9,$P136,$M$9,$M136),_xll.BDP($B136,Q$9,"fill=b","PRICING_SOURCE",$C$6,$AC136,$N$9,$P136,$M$9,$M136))))*1),"",IF(OR(AD136="SINKABLE",AD136="CALL/SINK"),_xll.BDP($B136,$Q$10,"fill=b","PRICING_SOURCE",$C$6,$AC136,$N$9,$P136,$M$9,$M136),_xll.BDP($B136,Q$9,"fill=b","PRICING_SOURCE",$C$6,$AC136,$N$9,$P136,$M$9,$M136)))</f>
        <v/>
      </c>
      <c r="R136" s="237"/>
      <c r="S136" s="238" t="str">
        <f t="shared" si="39"/>
        <v/>
      </c>
      <c r="T136" s="239" t="str" cm="1">
        <f t="array" ref="T136">IF(ISERROR((_xlfn.SINGLE(IF(OR(AD136="SINKABLE",AD136="CALL/SINK"),_xll.BDP($B136,$Q$10,"fill=b","PRICING_SOURCE",$C$6,$AC136,$M$9,$U136,"px ask",$AE136),_xll.BDP($B136,Q$9,"fill=b","PRICING_SOURCE",$C$6,$AC136,$M$9,$U136,"px ask",$AE136))))*1),"",IF(OR(AD136="SINKABLE",AD136="CALL/SINK"),_xll.BDP($B136,$Q$10,"fill=b","PRICING_SOURCE",$C$6,$AC136,$M$9,$U136,"px ask",$AE136),_xll.BDP($B136,Q$9,"fill=b","PRICING_SOURCE",$C$6,$AC136,$M$9,$U136,"px ask",$AE136)))</f>
        <v/>
      </c>
      <c r="U136" s="240" t="str">
        <f t="shared" si="29"/>
        <v/>
      </c>
      <c r="V136" s="254" t="str">
        <f>IF(B136="","",IF(I136="BZDIOVRA Index",IF(OR(AD136="SINKABLE",AD136="CALL/SINK"),_xll.BDP($B136,"PX_ASK",$Q$10,J136,$M$9,M136),_xll.BDP($B136,"PX_"&amp;$H$7,$Q$9,J136,$M$9,M136)),_xll.BDP($B136,"PX_"&amp;$H$7,$Q$9,_xll.BDP(B136,"CPN"),$M$9,M136)))</f>
        <v/>
      </c>
      <c r="W136" s="254" t="str">
        <f t="shared" si="30"/>
        <v/>
      </c>
      <c r="X136" s="166" t="str">
        <f>IF(B136="","",IF(OR(AD136="SINKABLE",AD136="CALL/SINK"),_xll.BDP($B136,X$9,"fill=b","PRICING_SOURCE",$C$6,$AC136,$M$9,$M136,$N$9,$P136,$Q$10,$S136),_xll.BDP($B136,X$9,"fill=b","PRICING_SOURCE",$C$6,$AC136,$M$9,$M136,$N$9,$P136,$Q$9,$S136)))</f>
        <v/>
      </c>
      <c r="Y136" s="166" t="str">
        <f>IF(B136="","",IF(OR(AD136="SINKABLE",AD136="CALL/SINK"),_xll.BDP($B136,Y$9,"fill=b","PRICING_SOURCE",$C$6,$AC136,$M$9,$M136,$N$9,$P136,$Q$10,$S136),_xll.BDP($B136,Y$9,"fill=b","PRICING_SOURCE",$C$6,$AC136,$M$9,$M136,$N$9,$P136,$Q$9,$S136)))</f>
        <v/>
      </c>
      <c r="Z136" s="255" t="str">
        <f>IF(B136="","",IF(OR(AD136="SINKABLE",AD136="CALL/SINK"),_xll.BDP($B136,Z$9,"fill=b","PRICING_SOURCE",$C$6,$AC136,$M$9,$M136,$N$9,$P136,$Q$10,$S136),_xll.BDP($B136,Z$9,"fill=b","PRICING_SOURCE",$C$6,$AC136,$M$9,$M136,$N$9,$P136,$Q$9,$S136)))</f>
        <v/>
      </c>
      <c r="AA136" s="166" t="str">
        <f>IF(B136="","",IF(OR(AD136="SINKABLE",AD136="CALL/SINK"),_xll.BDP($B136,AA$9,"fill=b","PRICING_SOURCE",$C$6,$AC136,$M$9,$M136,$N$9,$P136,$Q$10,$S136),_xll.BDP($B136,AA$9,"fill=b","PRICING_SOURCE",$C$6,$AC136,$M$9,$M136,$N$9,$P136,$Q$9,$S136)))</f>
        <v/>
      </c>
      <c r="AB136" s="150" t="str">
        <f>IF(B136="","",IF(LEFT(_xll.BDP($B136,AB$9,"fill=b"),1)="#","-",_xll.BDP($B136,AB$9,"fill=b")))</f>
        <v/>
      </c>
      <c r="AC136" s="150" t="str">
        <f t="shared" si="40"/>
        <v>YLD FLAG=2</v>
      </c>
      <c r="AD136" s="150" t="str">
        <f>IF(B136="","",_xll.BDP($B136,AD$9,"fill=b"))</f>
        <v/>
      </c>
      <c r="AE136" s="256" t="str">
        <f>IF(B136="","",IF(ISERROR(_xll.BDH(B136,"PX LAST",AN136,AN136,"DAYS=ALL","PRICING SOURCE",$C$6)*1),_xll.BDP(B136,"PAR AMT"),_xll.BDH(B136,"PX LAST",AN136,AN136,"DAYS=ALL","PRICING SOURCE",$C$6)))</f>
        <v/>
      </c>
      <c r="AF136" s="150" t="str">
        <f>IF(B136="","",_xll.BDP($B136,AF$9,"fill=b"))</f>
        <v/>
      </c>
      <c r="AG136" s="150"/>
      <c r="AH136" s="190" t="str">
        <f>IF(B136="","",IF($AD136="AT MATURITY",$AB136*1,_xll.BADDPERIODS(_xll.BDP($B136,"issue dt"),"numberofperiods",TRUNC(_xll.BDP($B136,"YRS_TO_LONGEST_AVG_LIFE","YLD_YTM_BID",AF136,"SETTLE_DT",U136,AC136),0),"per=y")+(ROUND(MOD(_xll.BDP(B136,"YRS_TO_LONGEST_AVG_LIFE","YLD_YTM_BID",AF136,"SETTLE_DT",U136,AC136),1)*360,0))))</f>
        <v/>
      </c>
      <c r="AI136" s="150" t="str">
        <f t="array" ref="AI136">IF(B136="","",AF136-_xll.BInterpol(_xll.BDP(_xll.BDS("YCGT0372 Index","curve members","CURVE_DATE", $U136,"endcol=1","array=true"),"maturity")*1,_xll.BDH(_xll.BDS("YCGT0372 Index","curve members","CURVE_DATE", $U136,"endcol=1","array=true"),"yld cnv mid",$U136,$U136,"days=all"),AH136,"CUBIC","Extrapolate=LINEAR","SKIP=TRUE","SORT=TRUE","MultiX=Average"))</f>
        <v/>
      </c>
      <c r="AJ136" s="189" t="str">
        <f t="shared" si="31"/>
        <v/>
      </c>
      <c r="AK136" s="257" t="str">
        <f>IF(B136="","",_xll.BDP($B136,AK$9,"fill=b"))</f>
        <v/>
      </c>
      <c r="AL136" s="257" t="str">
        <f>IF(B136="","",_xll.BDP($B136,AL$9,"fill=b"))</f>
        <v/>
      </c>
      <c r="AM136" s="256" t="str">
        <f>IF(B136="","",_xll.BDP($B136,AM$9,"fill=b"))</f>
        <v/>
      </c>
      <c r="AN136" s="150" t="str">
        <f>IF(B136="","",_xll.BDP($B136,AN$9,"fill=b"))</f>
        <v/>
      </c>
      <c r="AO136" s="150" t="str">
        <f>IF(B136="","",IF(LEFT(_xll.BDP($B136,AO$9,"fill=b"),1)="#","-",_xll.BDP($B136,AO$9,"fill=b")))</f>
        <v/>
      </c>
      <c r="AP136" s="150" t="str">
        <f>IF(B136="","",_xll.BDP($B136,AP$9,"fill=b"))</f>
        <v/>
      </c>
      <c r="AQ136" s="150" t="str">
        <f>IF(B136="","",_xll.BDP($B136,AQ$9,"fill=b"))</f>
        <v/>
      </c>
      <c r="AR136" s="150" t="str">
        <f>IF(B136="","",_xll.BDP($B136,AR$9,"fill=b"))</f>
        <v/>
      </c>
      <c r="AS136" s="150" t="str">
        <f>IF(B136="","",_xll.BDP($B136,AS$9,"fill=b"))</f>
        <v/>
      </c>
      <c r="AT136" s="150" t="str">
        <f>IF(B136="","",_xll.BDP($B136,AT$9,"fill=b"))</f>
        <v/>
      </c>
      <c r="AU136" s="258" t="str">
        <f>IF(B136="","",_xll.BDP($B136,AU$9,"fill=b"))</f>
        <v/>
      </c>
    </row>
    <row r="137" spans="2:47" ht="15" x14ac:dyDescent="0.25">
      <c r="B137" s="232"/>
      <c r="C137" s="150" t="str">
        <f>IF(B137="","",_xll.BDP($B137,C$9,"fill=b"))</f>
        <v/>
      </c>
      <c r="D137" s="150" t="str">
        <f>IF(B137="","",_xll.BDP($B137,D$9,"fill=b"))</f>
        <v/>
      </c>
      <c r="E137" s="150" t="str">
        <f>IF(B137="","",_xll.BDP($B137,E$9,"fill=b"))</f>
        <v/>
      </c>
      <c r="F137" s="150" t="str">
        <f>IF(B137="","",IF(LEFT(_xll.BDP($B137,F$9,"fill=b"),1)="#","-",_xll.BDP($B137,F$9,"fill=b")))</f>
        <v/>
      </c>
      <c r="G137" s="150" t="str">
        <f>IF(B137="","",_xll.BDP($B137,G$9,"fill=b"))</f>
        <v/>
      </c>
      <c r="H137" s="150" t="str">
        <f>IF(B137="","",_xll.BDP($B137,H$9,"fill=b"))</f>
        <v/>
      </c>
      <c r="I137" s="150" t="str" cm="1">
        <f t="array" ref="I137">IF(LEFT(_xlfn.SINGLE(_xll.BDP(B137,"REFERENCE_INDEX")),1)="#",IF(LEFT(_xlfn.SINGLE(_xll.BDP(B137, "RESET_IDX"))&amp;" Index",1)="#","",_xlfn.SINGLE(_xll.BDP(B137, "RESET_IDX"))&amp;" Index"),_xll.BDP(B137,"REFERENCE_INDEX"))</f>
        <v/>
      </c>
      <c r="J137" s="150" t="str">
        <f>IF(I137="BZDIOVRA Index",IF(_xll.BDP(B137,"FLT_SPREAD")/100=0,_xll.BDP(B137,"FLT_BENCH_MULTIPLIER"),_xll.BDP(B137,"FLT_SPREAD")/100),"")</f>
        <v/>
      </c>
      <c r="K137" s="150" t="str">
        <f>IF(B137="","",IF(LEFT(_xll.BDP($B137,K$9,"fill=b"),1)="#","-",_xll.BDP($B137,K$9,"fill=b")))</f>
        <v/>
      </c>
      <c r="L137" s="233"/>
      <c r="M137" s="234" t="str">
        <f t="shared" si="25"/>
        <v/>
      </c>
      <c r="N137" s="252" t="str">
        <f>IF(B137="","",IF(R137="",IF(OR(AD137="SINKABLE",AD137="CALL/SINK"),_xll.BDP(B137,$N$9,$M$9,M137,"PRICING SOURCE",$C$6,"FILL=B"),_xll.BDP(B137,$N$9,$M$9,M137,"PRICING SOURCE",$C$6,"FILL=B")),IF(OR(AD137="SINKABLE",AD137="CALL/SINK"),_xll.BDP(B137,$N$9,$Q$10,S137,$M$9,M137,"PRICING SOURCE",$C$6,"FILL=B"),_xll.BDP(B137,$N$9,$Q$9,S137,$M$9,M137,"PRICING SOURCE",$C$6,"FILL=B"))))</f>
        <v/>
      </c>
      <c r="O137" s="235"/>
      <c r="P137" s="236" t="str">
        <f t="shared" si="38"/>
        <v/>
      </c>
      <c r="Q137" s="166" t="str" cm="1">
        <f t="array" ref="Q137">IF(ISERROR((_xlfn.SINGLE(IF(OR(AD137="SINKABLE",AD137="CALL/SINK"),_xll.BDP($B137,$Q$10,"fill=b","PRICING_SOURCE",$C$6,$AC137,$N$9,$P137,$M$9,$M137),_xll.BDP($B137,Q$9,"fill=b","PRICING_SOURCE",$C$6,$AC137,$N$9,$P137,$M$9,$M137))))*1),"",IF(OR(AD137="SINKABLE",AD137="CALL/SINK"),_xll.BDP($B137,$Q$10,"fill=b","PRICING_SOURCE",$C$6,$AC137,$N$9,$P137,$M$9,$M137),_xll.BDP($B137,Q$9,"fill=b","PRICING_SOURCE",$C$6,$AC137,$N$9,$P137,$M$9,$M137)))</f>
        <v/>
      </c>
      <c r="R137" s="237"/>
      <c r="S137" s="238" t="str">
        <f t="shared" si="39"/>
        <v/>
      </c>
      <c r="T137" s="239" t="str" cm="1">
        <f t="array" ref="T137">IF(ISERROR((_xlfn.SINGLE(IF(OR(AD137="SINKABLE",AD137="CALL/SINK"),_xll.BDP($B137,$Q$10,"fill=b","PRICING_SOURCE",$C$6,$AC137,$M$9,$U137,"px ask",$AE137),_xll.BDP($B137,Q$9,"fill=b","PRICING_SOURCE",$C$6,$AC137,$M$9,$U137,"px ask",$AE137))))*1),"",IF(OR(AD137="SINKABLE",AD137="CALL/SINK"),_xll.BDP($B137,$Q$10,"fill=b","PRICING_SOURCE",$C$6,$AC137,$M$9,$U137,"px ask",$AE137),_xll.BDP($B137,Q$9,"fill=b","PRICING_SOURCE",$C$6,$AC137,$M$9,$U137,"px ask",$AE137)))</f>
        <v/>
      </c>
      <c r="U137" s="240" t="str">
        <f t="shared" si="29"/>
        <v/>
      </c>
      <c r="V137" s="254" t="str">
        <f>IF(B137="","",IF(I137="BZDIOVRA Index",IF(OR(AD137="SINKABLE",AD137="CALL/SINK"),_xll.BDP($B137,"PX_ASK",$Q$10,J137,$M$9,M137),_xll.BDP($B137,"PX_"&amp;$H$7,$Q$9,J137,$M$9,M137)),_xll.BDP($B137,"PX_"&amp;$H$7,$Q$9,_xll.BDP(B137,"CPN"),$M$9,M137)))</f>
        <v/>
      </c>
      <c r="W137" s="254" t="str">
        <f t="shared" si="30"/>
        <v/>
      </c>
      <c r="X137" s="166" t="str">
        <f>IF(B137="","",IF(OR(AD137="SINKABLE",AD137="CALL/SINK"),_xll.BDP($B137,X$9,"fill=b","PRICING_SOURCE",$C$6,$AC137,$M$9,$M137,$N$9,$P137,$Q$10,$S137),_xll.BDP($B137,X$9,"fill=b","PRICING_SOURCE",$C$6,$AC137,$M$9,$M137,$N$9,$P137,$Q$9,$S137)))</f>
        <v/>
      </c>
      <c r="Y137" s="166" t="str">
        <f>IF(B137="","",IF(OR(AD137="SINKABLE",AD137="CALL/SINK"),_xll.BDP($B137,Y$9,"fill=b","PRICING_SOURCE",$C$6,$AC137,$M$9,$M137,$N$9,$P137,$Q$10,$S137),_xll.BDP($B137,Y$9,"fill=b","PRICING_SOURCE",$C$6,$AC137,$M$9,$M137,$N$9,$P137,$Q$9,$S137)))</f>
        <v/>
      </c>
      <c r="Z137" s="255" t="str">
        <f>IF(B137="","",IF(OR(AD137="SINKABLE",AD137="CALL/SINK"),_xll.BDP($B137,Z$9,"fill=b","PRICING_SOURCE",$C$6,$AC137,$M$9,$M137,$N$9,$P137,$Q$10,$S137),_xll.BDP($B137,Z$9,"fill=b","PRICING_SOURCE",$C$6,$AC137,$M$9,$M137,$N$9,$P137,$Q$9,$S137)))</f>
        <v/>
      </c>
      <c r="AA137" s="166" t="str">
        <f>IF(B137="","",IF(OR(AD137="SINKABLE",AD137="CALL/SINK"),_xll.BDP($B137,AA$9,"fill=b","PRICING_SOURCE",$C$6,$AC137,$M$9,$M137,$N$9,$P137,$Q$10,$S137),_xll.BDP($B137,AA$9,"fill=b","PRICING_SOURCE",$C$6,$AC137,$M$9,$M137,$N$9,$P137,$Q$9,$S137)))</f>
        <v/>
      </c>
      <c r="AB137" s="150" t="str">
        <f>IF(B137="","",IF(LEFT(_xll.BDP($B137,AB$9,"fill=b"),1)="#","-",_xll.BDP($B137,AB$9,"fill=b")))</f>
        <v/>
      </c>
      <c r="AC137" s="150" t="str">
        <f t="shared" si="40"/>
        <v>YLD FLAG=2</v>
      </c>
      <c r="AD137" s="150" t="str">
        <f>IF(B137="","",_xll.BDP($B137,AD$9,"fill=b"))</f>
        <v/>
      </c>
      <c r="AE137" s="256" t="str">
        <f>IF(B137="","",IF(ISERROR(_xll.BDH(B137,"PX LAST",AN137,AN137,"DAYS=ALL","PRICING SOURCE",$C$6)*1),_xll.BDP(B137,"PAR AMT"),_xll.BDH(B137,"PX LAST",AN137,AN137,"DAYS=ALL","PRICING SOURCE",$C$6)))</f>
        <v/>
      </c>
      <c r="AF137" s="150" t="str">
        <f>IF(B137="","",_xll.BDP($B137,AF$9,"fill=b"))</f>
        <v/>
      </c>
      <c r="AG137" s="150"/>
      <c r="AH137" s="190" t="str">
        <f>IF(B137="","",IF($AD137="AT MATURITY",$AB137*1,_xll.BADDPERIODS(_xll.BDP($B137,"issue dt"),"numberofperiods",TRUNC(_xll.BDP($B137,"YRS_TO_LONGEST_AVG_LIFE","YLD_YTM_BID",AF137,"SETTLE_DT",U137,AC137),0),"per=y")+(ROUND(MOD(_xll.BDP(B137,"YRS_TO_LONGEST_AVG_LIFE","YLD_YTM_BID",AF137,"SETTLE_DT",U137,AC137),1)*360,0))))</f>
        <v/>
      </c>
      <c r="AI137" s="150" t="str">
        <f t="array" ref="AI137">IF(B137="","",AF137-_xll.BInterpol(_xll.BDP(_xll.BDS("YCGT0372 Index","curve members","CURVE_DATE", $U137,"endcol=1","array=true"),"maturity")*1,_xll.BDH(_xll.BDS("YCGT0372 Index","curve members","CURVE_DATE", $U137,"endcol=1","array=true"),"yld cnv mid",$U137,$U137,"days=all"),AH137,"CUBIC","Extrapolate=LINEAR","SKIP=TRUE","SORT=TRUE","MultiX=Average"))</f>
        <v/>
      </c>
      <c r="AJ137" s="189" t="str">
        <f t="shared" si="31"/>
        <v/>
      </c>
      <c r="AK137" s="257" t="str">
        <f>IF(B137="","",_xll.BDP($B137,AK$9,"fill=b"))</f>
        <v/>
      </c>
      <c r="AL137" s="257" t="str">
        <f>IF(B137="","",_xll.BDP($B137,AL$9,"fill=b"))</f>
        <v/>
      </c>
      <c r="AM137" s="256" t="str">
        <f>IF(B137="","",_xll.BDP($B137,AM$9,"fill=b"))</f>
        <v/>
      </c>
      <c r="AN137" s="150" t="str">
        <f>IF(B137="","",_xll.BDP($B137,AN$9,"fill=b"))</f>
        <v/>
      </c>
      <c r="AO137" s="150" t="str">
        <f>IF(B137="","",IF(LEFT(_xll.BDP($B137,AO$9,"fill=b"),1)="#","-",_xll.BDP($B137,AO$9,"fill=b")))</f>
        <v/>
      </c>
      <c r="AP137" s="150" t="str">
        <f>IF(B137="","",_xll.BDP($B137,AP$9,"fill=b"))</f>
        <v/>
      </c>
      <c r="AQ137" s="150" t="str">
        <f>IF(B137="","",_xll.BDP($B137,AQ$9,"fill=b"))</f>
        <v/>
      </c>
      <c r="AR137" s="150" t="str">
        <f>IF(B137="","",_xll.BDP($B137,AR$9,"fill=b"))</f>
        <v/>
      </c>
      <c r="AS137" s="150" t="str">
        <f>IF(B137="","",_xll.BDP($B137,AS$9,"fill=b"))</f>
        <v/>
      </c>
      <c r="AT137" s="150" t="str">
        <f>IF(B137="","",_xll.BDP($B137,AT$9,"fill=b"))</f>
        <v/>
      </c>
      <c r="AU137" s="258" t="str">
        <f>IF(B137="","",_xll.BDP($B137,AU$9,"fill=b"))</f>
        <v/>
      </c>
    </row>
    <row r="138" spans="2:47" ht="15" x14ac:dyDescent="0.25">
      <c r="B138" s="232"/>
      <c r="C138" s="150" t="str">
        <f>IF(B138="","",_xll.BDP($B138,C$9,"fill=b"))</f>
        <v/>
      </c>
      <c r="D138" s="150" t="str">
        <f>IF(B138="","",_xll.BDP($B138,D$9,"fill=b"))</f>
        <v/>
      </c>
      <c r="E138" s="150" t="str">
        <f>IF(B138="","",_xll.BDP($B138,E$9,"fill=b"))</f>
        <v/>
      </c>
      <c r="F138" s="150" t="str">
        <f>IF(B138="","",IF(LEFT(_xll.BDP($B138,F$9,"fill=b"),1)="#","-",_xll.BDP($B138,F$9,"fill=b")))</f>
        <v/>
      </c>
      <c r="G138" s="150" t="str">
        <f>IF(B138="","",_xll.BDP($B138,G$9,"fill=b"))</f>
        <v/>
      </c>
      <c r="H138" s="150" t="str">
        <f>IF(B138="","",_xll.BDP($B138,H$9,"fill=b"))</f>
        <v/>
      </c>
      <c r="I138" s="150" t="str" cm="1">
        <f t="array" ref="I138">IF(LEFT(_xlfn.SINGLE(_xll.BDP(B138,"REFERENCE_INDEX")),1)="#",IF(LEFT(_xlfn.SINGLE(_xll.BDP(B138, "RESET_IDX"))&amp;" Index",1)="#","",_xlfn.SINGLE(_xll.BDP(B138, "RESET_IDX"))&amp;" Index"),_xll.BDP(B138,"REFERENCE_INDEX"))</f>
        <v/>
      </c>
      <c r="J138" s="150" t="str">
        <f>IF(I138="BZDIOVRA Index",IF(_xll.BDP(B138,"FLT_SPREAD")/100=0,_xll.BDP(B138,"FLT_BENCH_MULTIPLIER"),_xll.BDP(B138,"FLT_SPREAD")/100),"")</f>
        <v/>
      </c>
      <c r="K138" s="150" t="str">
        <f>IF(B138="","",IF(LEFT(_xll.BDP($B138,K$9,"fill=b"),1)="#","-",_xll.BDP($B138,K$9,"fill=b")))</f>
        <v/>
      </c>
      <c r="L138" s="233"/>
      <c r="M138" s="234" t="str">
        <f t="shared" si="25"/>
        <v/>
      </c>
      <c r="N138" s="252" t="str">
        <f>IF(B138="","",IF(R138="",IF(OR(AD138="SINKABLE",AD138="CALL/SINK"),_xll.BDP(B138,$N$9,$M$9,M138,"PRICING SOURCE",$C$6,"FILL=B"),_xll.BDP(B138,$N$9,$M$9,M138,"PRICING SOURCE",$C$6,"FILL=B")),IF(OR(AD138="SINKABLE",AD138="CALL/SINK"),_xll.BDP(B138,$N$9,$Q$10,S138,$M$9,M138,"PRICING SOURCE",$C$6,"FILL=B"),_xll.BDP(B138,$N$9,$Q$9,S138,$M$9,M138,"PRICING SOURCE",$C$6,"FILL=B"))))</f>
        <v/>
      </c>
      <c r="O138" s="235"/>
      <c r="P138" s="236" t="str">
        <f t="shared" si="38"/>
        <v/>
      </c>
      <c r="Q138" s="166" t="str" cm="1">
        <f t="array" ref="Q138">IF(ISERROR((_xlfn.SINGLE(IF(OR(AD138="SINKABLE",AD138="CALL/SINK"),_xll.BDP($B138,$Q$10,"fill=b","PRICING_SOURCE",$C$6,$AC138,$N$9,$P138,$M$9,$M138),_xll.BDP($B138,Q$9,"fill=b","PRICING_SOURCE",$C$6,$AC138,$N$9,$P138,$M$9,$M138))))*1),"",IF(OR(AD138="SINKABLE",AD138="CALL/SINK"),_xll.BDP($B138,$Q$10,"fill=b","PRICING_SOURCE",$C$6,$AC138,$N$9,$P138,$M$9,$M138),_xll.BDP($B138,Q$9,"fill=b","PRICING_SOURCE",$C$6,$AC138,$N$9,$P138,$M$9,$M138)))</f>
        <v/>
      </c>
      <c r="R138" s="237"/>
      <c r="S138" s="238" t="str">
        <f t="shared" si="39"/>
        <v/>
      </c>
      <c r="T138" s="239" t="str" cm="1">
        <f t="array" ref="T138">IF(ISERROR((_xlfn.SINGLE(IF(OR(AD138="SINKABLE",AD138="CALL/SINK"),_xll.BDP($B138,$Q$10,"fill=b","PRICING_SOURCE",$C$6,$AC138,$M$9,$U138,"px ask",$AE138),_xll.BDP($B138,Q$9,"fill=b","PRICING_SOURCE",$C$6,$AC138,$M$9,$U138,"px ask",$AE138))))*1),"",IF(OR(AD138="SINKABLE",AD138="CALL/SINK"),_xll.BDP($B138,$Q$10,"fill=b","PRICING_SOURCE",$C$6,$AC138,$M$9,$U138,"px ask",$AE138),_xll.BDP($B138,Q$9,"fill=b","PRICING_SOURCE",$C$6,$AC138,$M$9,$U138,"px ask",$AE138)))</f>
        <v/>
      </c>
      <c r="U138" s="240" t="str">
        <f t="shared" si="29"/>
        <v/>
      </c>
      <c r="V138" s="254" t="str">
        <f>IF(B138="","",IF(I138="BZDIOVRA Index",IF(OR(AD138="SINKABLE",AD138="CALL/SINK"),_xll.BDP($B138,"PX_ASK",$Q$10,J138,$M$9,M138),_xll.BDP($B138,"PX_"&amp;$H$7,$Q$9,J138,$M$9,M138)),_xll.BDP($B138,"PX_"&amp;$H$7,$Q$9,_xll.BDP(B138,"CPN"),$M$9,M138)))</f>
        <v/>
      </c>
      <c r="W138" s="254" t="str">
        <f t="shared" si="30"/>
        <v/>
      </c>
      <c r="X138" s="166" t="str">
        <f>IF(B138="","",IF(OR(AD138="SINKABLE",AD138="CALL/SINK"),_xll.BDP($B138,X$9,"fill=b","PRICING_SOURCE",$C$6,$AC138,$M$9,$M138,$N$9,$P138,$Q$10,$S138),_xll.BDP($B138,X$9,"fill=b","PRICING_SOURCE",$C$6,$AC138,$M$9,$M138,$N$9,$P138,$Q$9,$S138)))</f>
        <v/>
      </c>
      <c r="Y138" s="166" t="str">
        <f>IF(B138="","",IF(OR(AD138="SINKABLE",AD138="CALL/SINK"),_xll.BDP($B138,Y$9,"fill=b","PRICING_SOURCE",$C$6,$AC138,$M$9,$M138,$N$9,$P138,$Q$10,$S138),_xll.BDP($B138,Y$9,"fill=b","PRICING_SOURCE",$C$6,$AC138,$M$9,$M138,$N$9,$P138,$Q$9,$S138)))</f>
        <v/>
      </c>
      <c r="Z138" s="255" t="str">
        <f>IF(B138="","",IF(OR(AD138="SINKABLE",AD138="CALL/SINK"),_xll.BDP($B138,Z$9,"fill=b","PRICING_SOURCE",$C$6,$AC138,$M$9,$M138,$N$9,$P138,$Q$10,$S138),_xll.BDP($B138,Z$9,"fill=b","PRICING_SOURCE",$C$6,$AC138,$M$9,$M138,$N$9,$P138,$Q$9,$S138)))</f>
        <v/>
      </c>
      <c r="AA138" s="166" t="str">
        <f>IF(B138="","",IF(OR(AD138="SINKABLE",AD138="CALL/SINK"),_xll.BDP($B138,AA$9,"fill=b","PRICING_SOURCE",$C$6,$AC138,$M$9,$M138,$N$9,$P138,$Q$10,$S138),_xll.BDP($B138,AA$9,"fill=b","PRICING_SOURCE",$C$6,$AC138,$M$9,$M138,$N$9,$P138,$Q$9,$S138)))</f>
        <v/>
      </c>
      <c r="AB138" s="150" t="str">
        <f>IF(B138="","",IF(LEFT(_xll.BDP($B138,AB$9,"fill=b"),1)="#","-",_xll.BDP($B138,AB$9,"fill=b")))</f>
        <v/>
      </c>
      <c r="AC138" s="150" t="str">
        <f t="shared" si="40"/>
        <v>YLD FLAG=2</v>
      </c>
      <c r="AD138" s="150" t="str">
        <f>IF(B138="","",_xll.BDP($B138,AD$9,"fill=b"))</f>
        <v/>
      </c>
      <c r="AE138" s="256" t="str">
        <f>IF(B138="","",IF(ISERROR(_xll.BDH(B138,"PX LAST",AN138,AN138,"DAYS=ALL","PRICING SOURCE",$C$6)*1),_xll.BDP(B138,"PAR AMT"),_xll.BDH(B138,"PX LAST",AN138,AN138,"DAYS=ALL","PRICING SOURCE",$C$6)))</f>
        <v/>
      </c>
      <c r="AF138" s="150" t="str">
        <f>IF(B138="","",_xll.BDP($B138,AF$9,"fill=b"))</f>
        <v/>
      </c>
      <c r="AG138" s="150"/>
      <c r="AH138" s="190" t="str">
        <f>IF(B138="","",IF($AD138="AT MATURITY",$AB138*1,_xll.BADDPERIODS(_xll.BDP($B138,"issue dt"),"numberofperiods",TRUNC(_xll.BDP($B138,"YRS_TO_LONGEST_AVG_LIFE","YLD_YTM_BID",AF138,"SETTLE_DT",U138,AC138),0),"per=y")+(ROUND(MOD(_xll.BDP(B138,"YRS_TO_LONGEST_AVG_LIFE","YLD_YTM_BID",AF138,"SETTLE_DT",U138,AC138),1)*360,0))))</f>
        <v/>
      </c>
      <c r="AI138" s="150" t="str">
        <f t="array" ref="AI138">IF(B138="","",AF138-_xll.BInterpol(_xll.BDP(_xll.BDS("YCGT0372 Index","curve members","CURVE_DATE", $U138,"endcol=1","array=true"),"maturity")*1,_xll.BDH(_xll.BDS("YCGT0372 Index","curve members","CURVE_DATE", $U138,"endcol=1","array=true"),"yld cnv mid",$U138,$U138,"days=all"),AH138,"CUBIC","Extrapolate=LINEAR","SKIP=TRUE","SORT=TRUE","MultiX=Average"))</f>
        <v/>
      </c>
      <c r="AJ138" s="189" t="str">
        <f t="shared" si="31"/>
        <v/>
      </c>
      <c r="AK138" s="257" t="str">
        <f>IF(B138="","",_xll.BDP($B138,AK$9,"fill=b"))</f>
        <v/>
      </c>
      <c r="AL138" s="257" t="str">
        <f>IF(B138="","",_xll.BDP($B138,AL$9,"fill=b"))</f>
        <v/>
      </c>
      <c r="AM138" s="256" t="str">
        <f>IF(B138="","",_xll.BDP($B138,AM$9,"fill=b"))</f>
        <v/>
      </c>
      <c r="AN138" s="150" t="str">
        <f>IF(B138="","",_xll.BDP($B138,AN$9,"fill=b"))</f>
        <v/>
      </c>
      <c r="AO138" s="150" t="str">
        <f>IF(B138="","",IF(LEFT(_xll.BDP($B138,AO$9,"fill=b"),1)="#","-",_xll.BDP($B138,AO$9,"fill=b")))</f>
        <v/>
      </c>
      <c r="AP138" s="150" t="str">
        <f>IF(B138="","",_xll.BDP($B138,AP$9,"fill=b"))</f>
        <v/>
      </c>
      <c r="AQ138" s="150" t="str">
        <f>IF(B138="","",_xll.BDP($B138,AQ$9,"fill=b"))</f>
        <v/>
      </c>
      <c r="AR138" s="150" t="str">
        <f>IF(B138="","",_xll.BDP($B138,AR$9,"fill=b"))</f>
        <v/>
      </c>
      <c r="AS138" s="150" t="str">
        <f>IF(B138="","",_xll.BDP($B138,AS$9,"fill=b"))</f>
        <v/>
      </c>
      <c r="AT138" s="150" t="str">
        <f>IF(B138="","",_xll.BDP($B138,AT$9,"fill=b"))</f>
        <v/>
      </c>
      <c r="AU138" s="258" t="str">
        <f>IF(B138="","",_xll.BDP($B138,AU$9,"fill=b"))</f>
        <v/>
      </c>
    </row>
    <row r="139" spans="2:47" ht="15" x14ac:dyDescent="0.25">
      <c r="B139" s="232"/>
      <c r="C139" s="150" t="str">
        <f>IF(B139="","",_xll.BDP($B139,C$9,"fill=b"))</f>
        <v/>
      </c>
      <c r="D139" s="150" t="str">
        <f>IF(B139="","",_xll.BDP($B139,D$9,"fill=b"))</f>
        <v/>
      </c>
      <c r="E139" s="150" t="str">
        <f>IF(B139="","",_xll.BDP($B139,E$9,"fill=b"))</f>
        <v/>
      </c>
      <c r="F139" s="150" t="str">
        <f>IF(B139="","",IF(LEFT(_xll.BDP($B139,F$9,"fill=b"),1)="#","-",_xll.BDP($B139,F$9,"fill=b")))</f>
        <v/>
      </c>
      <c r="G139" s="150" t="str">
        <f>IF(B139="","",_xll.BDP($B139,G$9,"fill=b"))</f>
        <v/>
      </c>
      <c r="H139" s="150" t="str">
        <f>IF(B139="","",_xll.BDP($B139,H$9,"fill=b"))</f>
        <v/>
      </c>
      <c r="I139" s="150" t="str" cm="1">
        <f t="array" ref="I139">IF(LEFT(_xlfn.SINGLE(_xll.BDP(B139,"REFERENCE_INDEX")),1)="#",IF(LEFT(_xlfn.SINGLE(_xll.BDP(B139, "RESET_IDX"))&amp;" Index",1)="#","",_xlfn.SINGLE(_xll.BDP(B139, "RESET_IDX"))&amp;" Index"),_xll.BDP(B139,"REFERENCE_INDEX"))</f>
        <v/>
      </c>
      <c r="J139" s="150" t="str">
        <f>IF(I139="BZDIOVRA Index",IF(_xll.BDP(B139,"FLT_SPREAD")/100=0,_xll.BDP(B139,"FLT_BENCH_MULTIPLIER"),_xll.BDP(B139,"FLT_SPREAD")/100),"")</f>
        <v/>
      </c>
      <c r="K139" s="150" t="str">
        <f>IF(B139="","",IF(LEFT(_xll.BDP($B139,K$9,"fill=b"),1)="#","-",_xll.BDP($B139,K$9,"fill=b")))</f>
        <v/>
      </c>
      <c r="L139" s="233"/>
      <c r="M139" s="234" t="str">
        <f t="shared" si="25"/>
        <v/>
      </c>
      <c r="N139" s="252" t="str">
        <f>IF(B139="","",IF(R139="",IF(OR(AD139="SINKABLE",AD139="CALL/SINK"),_xll.BDP(B139,$N$9,$M$9,M139,"PRICING SOURCE",$C$6,"FILL=B"),_xll.BDP(B139,$N$9,$M$9,M139,"PRICING SOURCE",$C$6,"FILL=B")),IF(OR(AD139="SINKABLE",AD139="CALL/SINK"),_xll.BDP(B139,$N$9,$Q$10,S139,$M$9,M139,"PRICING SOURCE",$C$6,"FILL=B"),_xll.BDP(B139,$N$9,$Q$9,S139,$M$9,M139,"PRICING SOURCE",$C$6,"FILL=B"))))</f>
        <v/>
      </c>
      <c r="O139" s="235"/>
      <c r="P139" s="236" t="str">
        <f t="shared" si="38"/>
        <v/>
      </c>
      <c r="Q139" s="166" t="str" cm="1">
        <f t="array" ref="Q139">IF(ISERROR((_xlfn.SINGLE(IF(OR(AD139="SINKABLE",AD139="CALL/SINK"),_xll.BDP($B139,$Q$10,"fill=b","PRICING_SOURCE",$C$6,$AC139,$N$9,$P139,$M$9,$M139),_xll.BDP($B139,Q$9,"fill=b","PRICING_SOURCE",$C$6,$AC139,$N$9,$P139,$M$9,$M139))))*1),"",IF(OR(AD139="SINKABLE",AD139="CALL/SINK"),_xll.BDP($B139,$Q$10,"fill=b","PRICING_SOURCE",$C$6,$AC139,$N$9,$P139,$M$9,$M139),_xll.BDP($B139,Q$9,"fill=b","PRICING_SOURCE",$C$6,$AC139,$N$9,$P139,$M$9,$M139)))</f>
        <v/>
      </c>
      <c r="R139" s="237"/>
      <c r="S139" s="238" t="str">
        <f t="shared" si="39"/>
        <v/>
      </c>
      <c r="T139" s="239" t="str" cm="1">
        <f t="array" ref="T139">IF(ISERROR((_xlfn.SINGLE(IF(OR(AD139="SINKABLE",AD139="CALL/SINK"),_xll.BDP($B139,$Q$10,"fill=b","PRICING_SOURCE",$C$6,$AC139,$M$9,$U139,"px ask",$AE139),_xll.BDP($B139,Q$9,"fill=b","PRICING_SOURCE",$C$6,$AC139,$M$9,$U139,"px ask",$AE139))))*1),"",IF(OR(AD139="SINKABLE",AD139="CALL/SINK"),_xll.BDP($B139,$Q$10,"fill=b","PRICING_SOURCE",$C$6,$AC139,$M$9,$U139,"px ask",$AE139),_xll.BDP($B139,Q$9,"fill=b","PRICING_SOURCE",$C$6,$AC139,$M$9,$U139,"px ask",$AE139)))</f>
        <v/>
      </c>
      <c r="U139" s="240" t="str">
        <f t="shared" ref="U139:U160" si="41">IF(B139="","",IF(AG139="",TEXT(YEAR(AN139)*10000+MONTH(AN139)*100+DAY(AN139),"00000000"),TEXT(YEAR(AG139)*10000+MONTH(AG139)*100+DAY(AG139),"00000000")))</f>
        <v/>
      </c>
      <c r="V139" s="254" t="str">
        <f>IF(B139="","",IF(I139="BZDIOVRA Index",IF(OR(AD139="SINKABLE",AD139="CALL/SINK"),_xll.BDP($B139,"PX_ASK",$Q$10,J139,$M$9,M139),_xll.BDP($B139,"PX_"&amp;$H$7,$Q$9,J139,$M$9,M139)),_xll.BDP($B139,"PX_"&amp;$H$7,$Q$9,_xll.BDP(B139,"CPN"),$M$9,M139)))</f>
        <v/>
      </c>
      <c r="W139" s="254" t="str">
        <f t="shared" ref="W139:W160" si="42">IF(ISERROR(P139/V139*100),"",P139/V139*100)</f>
        <v/>
      </c>
      <c r="X139" s="166" t="str">
        <f>IF(B139="","",IF(OR(AD139="SINKABLE",AD139="CALL/SINK"),_xll.BDP($B139,X$9,"fill=b","PRICING_SOURCE",$C$6,$AC139,$M$9,$M139,$N$9,$P139,$Q$10,$S139),_xll.BDP($B139,X$9,"fill=b","PRICING_SOURCE",$C$6,$AC139,$M$9,$M139,$N$9,$P139,$Q$9,$S139)))</f>
        <v/>
      </c>
      <c r="Y139" s="166" t="str">
        <f>IF(B139="","",IF(OR(AD139="SINKABLE",AD139="CALL/SINK"),_xll.BDP($B139,Y$9,"fill=b","PRICING_SOURCE",$C$6,$AC139,$M$9,$M139,$N$9,$P139,$Q$10,$S139),_xll.BDP($B139,Y$9,"fill=b","PRICING_SOURCE",$C$6,$AC139,$M$9,$M139,$N$9,$P139,$Q$9,$S139)))</f>
        <v/>
      </c>
      <c r="Z139" s="255" t="str">
        <f>IF(B139="","",IF(OR(AD139="SINKABLE",AD139="CALL/SINK"),_xll.BDP($B139,Z$9,"fill=b","PRICING_SOURCE",$C$6,$AC139,$M$9,$M139,$N$9,$P139,$Q$10,$S139),_xll.BDP($B139,Z$9,"fill=b","PRICING_SOURCE",$C$6,$AC139,$M$9,$M139,$N$9,$P139,$Q$9,$S139)))</f>
        <v/>
      </c>
      <c r="AA139" s="166" t="str">
        <f>IF(B139="","",IF(OR(AD139="SINKABLE",AD139="CALL/SINK"),_xll.BDP($B139,AA$9,"fill=b","PRICING_SOURCE",$C$6,$AC139,$M$9,$M139,$N$9,$P139,$Q$10,$S139),_xll.BDP($B139,AA$9,"fill=b","PRICING_SOURCE",$C$6,$AC139,$M$9,$M139,$N$9,$P139,$Q$9,$S139)))</f>
        <v/>
      </c>
      <c r="AB139" s="150" t="str">
        <f>IF(B139="","",IF(LEFT(_xll.BDP($B139,AB$9,"fill=b"),1)="#","-",_xll.BDP($B139,AB$9,"fill=b")))</f>
        <v/>
      </c>
      <c r="AC139" s="150" t="str">
        <f t="shared" si="40"/>
        <v>YLD FLAG=2</v>
      </c>
      <c r="AD139" s="150" t="str">
        <f>IF(B139="","",_xll.BDP($B139,AD$9,"fill=b"))</f>
        <v/>
      </c>
      <c r="AE139" s="256" t="str">
        <f>IF(B139="","",IF(ISERROR(_xll.BDH(B139,"PX LAST",AN139,AN139,"DAYS=ALL","PRICING SOURCE",$C$6)*1),_xll.BDP(B139,"PAR AMT"),_xll.BDH(B139,"PX LAST",AN139,AN139,"DAYS=ALL","PRICING SOURCE",$C$6)))</f>
        <v/>
      </c>
      <c r="AF139" s="150" t="str">
        <f>IF(B139="","",_xll.BDP($B139,AF$9,"fill=b"))</f>
        <v/>
      </c>
      <c r="AG139" s="150"/>
      <c r="AH139" s="190" t="str">
        <f>IF(B139="","",IF($AD139="AT MATURITY",$AB139*1,_xll.BADDPERIODS(_xll.BDP($B139,"issue dt"),"numberofperiods",TRUNC(_xll.BDP($B139,"YRS_TO_LONGEST_AVG_LIFE","YLD_YTM_BID",AF139,"SETTLE_DT",U139,AC139),0),"per=y")+(ROUND(MOD(_xll.BDP(B139,"YRS_TO_LONGEST_AVG_LIFE","YLD_YTM_BID",AF139,"SETTLE_DT",U139,AC139),1)*360,0))))</f>
        <v/>
      </c>
      <c r="AI139" s="150" t="str">
        <f t="array" ref="AI139">IF(B139="","",AF139-_xll.BInterpol(_xll.BDP(_xll.BDS("YCGT0372 Index","curve members","CURVE_DATE", $U139,"endcol=1","array=true"),"maturity")*1,_xll.BDH(_xll.BDS("YCGT0372 Index","curve members","CURVE_DATE", $U139,"endcol=1","array=true"),"yld cnv mid",$U139,$U139,"days=all"),AH139,"CUBIC","Extrapolate=LINEAR","SKIP=TRUE","SORT=TRUE","MultiX=Average"))</f>
        <v/>
      </c>
      <c r="AJ139" s="189" t="str">
        <f t="shared" ref="AJ139:AJ160" si="43">IF(ISERROR(IF(LEFT(IF(MID(G139,8,2)="DI",J139,IF(MID(G139,8,4)="IPCA",AI139,"")),1)="#","",IF(MID(G139,8,2)="DI",J139,IF(MID(G139,8,4)="IPCA",AI139,IF(G139="BRAZIL PERCENT DI",J139,""))))),"",IF(LEFT(IF(MID(G139,8,2)="DI",J139,IF(MID(G139,8,4)="IPCA",AI139,"")),1)="#","",IF(MID(G139,8,2)="DI",J139,IF(MID(G139,8,4)="IPCA",AI139,IF(G139="BRAZIL PERCENT DI",J139,"")))))</f>
        <v/>
      </c>
      <c r="AK139" s="257" t="str">
        <f>IF(B139="","",_xll.BDP($B139,AK$9,"fill=b"))</f>
        <v/>
      </c>
      <c r="AL139" s="257" t="str">
        <f>IF(B139="","",_xll.BDP($B139,AL$9,"fill=b"))</f>
        <v/>
      </c>
      <c r="AM139" s="256" t="str">
        <f>IF(B139="","",_xll.BDP($B139,AM$9,"fill=b"))</f>
        <v/>
      </c>
      <c r="AN139" s="150" t="str">
        <f>IF(B139="","",_xll.BDP($B139,AN$9,"fill=b"))</f>
        <v/>
      </c>
      <c r="AO139" s="150" t="str">
        <f>IF(B139="","",IF(LEFT(_xll.BDP($B139,AO$9,"fill=b"),1)="#","-",_xll.BDP($B139,AO$9,"fill=b")))</f>
        <v/>
      </c>
      <c r="AP139" s="150" t="str">
        <f>IF(B139="","",_xll.BDP($B139,AP$9,"fill=b"))</f>
        <v/>
      </c>
      <c r="AQ139" s="150" t="str">
        <f>IF(B139="","",_xll.BDP($B139,AQ$9,"fill=b"))</f>
        <v/>
      </c>
      <c r="AR139" s="150" t="str">
        <f>IF(B139="","",_xll.BDP($B139,AR$9,"fill=b"))</f>
        <v/>
      </c>
      <c r="AS139" s="150" t="str">
        <f>IF(B139="","",_xll.BDP($B139,AS$9,"fill=b"))</f>
        <v/>
      </c>
      <c r="AT139" s="150" t="str">
        <f>IF(B139="","",_xll.BDP($B139,AT$9,"fill=b"))</f>
        <v/>
      </c>
      <c r="AU139" s="258" t="str">
        <f>IF(B139="","",_xll.BDP($B139,AU$9,"fill=b"))</f>
        <v/>
      </c>
    </row>
    <row r="140" spans="2:47" ht="15" x14ac:dyDescent="0.25">
      <c r="B140" s="232"/>
      <c r="C140" s="150" t="str">
        <f>IF(B140="","",_xll.BDP($B140,C$9,"fill=b"))</f>
        <v/>
      </c>
      <c r="D140" s="150" t="str">
        <f>IF(B140="","",_xll.BDP($B140,D$9,"fill=b"))</f>
        <v/>
      </c>
      <c r="E140" s="150" t="str">
        <f>IF(B140="","",_xll.BDP($B140,E$9,"fill=b"))</f>
        <v/>
      </c>
      <c r="F140" s="150" t="str">
        <f>IF(B140="","",IF(LEFT(_xll.BDP($B140,F$9,"fill=b"),1)="#","-",_xll.BDP($B140,F$9,"fill=b")))</f>
        <v/>
      </c>
      <c r="G140" s="150" t="str">
        <f>IF(B140="","",_xll.BDP($B140,G$9,"fill=b"))</f>
        <v/>
      </c>
      <c r="H140" s="150" t="str">
        <f>IF(B140="","",_xll.BDP($B140,H$9,"fill=b"))</f>
        <v/>
      </c>
      <c r="I140" s="150" t="str" cm="1">
        <f t="array" ref="I140">IF(LEFT(_xlfn.SINGLE(_xll.BDP(B140,"REFERENCE_INDEX")),1)="#",IF(LEFT(_xlfn.SINGLE(_xll.BDP(B140, "RESET_IDX"))&amp;" Index",1)="#","",_xlfn.SINGLE(_xll.BDP(B140, "RESET_IDX"))&amp;" Index"),_xll.BDP(B140,"REFERENCE_INDEX"))</f>
        <v/>
      </c>
      <c r="J140" s="150" t="str">
        <f>IF(I140="BZDIOVRA Index",IF(_xll.BDP(B140,"FLT_SPREAD")/100=0,_xll.BDP(B140,"FLT_BENCH_MULTIPLIER"),_xll.BDP(B140,"FLT_SPREAD")/100),"")</f>
        <v/>
      </c>
      <c r="K140" s="150" t="str">
        <f>IF(B140="","",IF(LEFT(_xll.BDP($B140,K$9,"fill=b"),1)="#","-",_xll.BDP($B140,K$9,"fill=b")))</f>
        <v/>
      </c>
      <c r="L140" s="233"/>
      <c r="M140" s="234" t="str">
        <f t="shared" ref="M140:M152" si="44">IF(B140="","",IF(L140="",TEXT(YEAR(K140)*10000+MONTH(K140)*100+DAY(K140),"00000000"),TEXT(YEAR(L140)*10000+MONTH(L140)*100+DAY(L140),"00000000")))</f>
        <v/>
      </c>
      <c r="N140" s="252" t="str">
        <f>IF(B140="","",IF(R140="",IF(OR(AD140="SINKABLE",AD140="CALL/SINK"),_xll.BDP(B140,$N$9,$M$9,M140,"PRICING SOURCE",$C$6,"FILL=B"),_xll.BDP(B140,$N$9,$M$9,M140,"PRICING SOURCE",$C$6,"FILL=B")),IF(OR(AD140="SINKABLE",AD140="CALL/SINK"),_xll.BDP(B140,$N$9,$Q$10,S140,$M$9,M140,"PRICING SOURCE",$C$6,"FILL=B"),_xll.BDP(B140,$N$9,$Q$9,S140,$M$9,M140,"PRICING SOURCE",$C$6,"FILL=B"))))</f>
        <v/>
      </c>
      <c r="O140" s="235"/>
      <c r="P140" s="236" t="str">
        <f t="shared" si="38"/>
        <v/>
      </c>
      <c r="Q140" s="166" t="str" cm="1">
        <f t="array" ref="Q140">IF(ISERROR((_xlfn.SINGLE(IF(OR(AD140="SINKABLE",AD140="CALL/SINK"),_xll.BDP($B140,$Q$10,"fill=b","PRICING_SOURCE",$C$6,$AC140,$N$9,$P140,$M$9,$M140),_xll.BDP($B140,Q$9,"fill=b","PRICING_SOURCE",$C$6,$AC140,$N$9,$P140,$M$9,$M140))))*1),"",IF(OR(AD140="SINKABLE",AD140="CALL/SINK"),_xll.BDP($B140,$Q$10,"fill=b","PRICING_SOURCE",$C$6,$AC140,$N$9,$P140,$M$9,$M140),_xll.BDP($B140,Q$9,"fill=b","PRICING_SOURCE",$C$6,$AC140,$N$9,$P140,$M$9,$M140)))</f>
        <v/>
      </c>
      <c r="R140" s="237"/>
      <c r="S140" s="238" t="str">
        <f t="shared" si="39"/>
        <v/>
      </c>
      <c r="T140" s="239" t="str" cm="1">
        <f t="array" ref="T140">IF(ISERROR((_xlfn.SINGLE(IF(OR(AD140="SINKABLE",AD140="CALL/SINK"),_xll.BDP($B140,$Q$10,"fill=b","PRICING_SOURCE",$C$6,$AC140,$M$9,$U140,"px ask",$AE140),_xll.BDP($B140,Q$9,"fill=b","PRICING_SOURCE",$C$6,$AC140,$M$9,$U140,"px ask",$AE140))))*1),"",IF(OR(AD140="SINKABLE",AD140="CALL/SINK"),_xll.BDP($B140,$Q$10,"fill=b","PRICING_SOURCE",$C$6,$AC140,$M$9,$U140,"px ask",$AE140),_xll.BDP($B140,Q$9,"fill=b","PRICING_SOURCE",$C$6,$AC140,$M$9,$U140,"px ask",$AE140)))</f>
        <v/>
      </c>
      <c r="U140" s="240" t="str">
        <f t="shared" si="41"/>
        <v/>
      </c>
      <c r="V140" s="254" t="str">
        <f>IF(B140="","",IF(I140="BZDIOVRA Index",IF(OR(AD140="SINKABLE",AD140="CALL/SINK"),_xll.BDP($B140,"PX_ASK",$Q$10,J140,$M$9,M140),_xll.BDP($B140,"PX_"&amp;$H$7,$Q$9,J140,$M$9,M140)),_xll.BDP($B140,"PX_"&amp;$H$7,$Q$9,_xll.BDP(B140,"CPN"),$M$9,M140)))</f>
        <v/>
      </c>
      <c r="W140" s="254" t="str">
        <f t="shared" si="42"/>
        <v/>
      </c>
      <c r="X140" s="166" t="str">
        <f>IF(B140="","",IF(OR(AD140="SINKABLE",AD140="CALL/SINK"),_xll.BDP($B140,X$9,"fill=b","PRICING_SOURCE",$C$6,$AC140,$M$9,$M140,$N$9,$P140,$Q$10,$S140),_xll.BDP($B140,X$9,"fill=b","PRICING_SOURCE",$C$6,$AC140,$M$9,$M140,$N$9,$P140,$Q$9,$S140)))</f>
        <v/>
      </c>
      <c r="Y140" s="166" t="str">
        <f>IF(B140="","",IF(OR(AD140="SINKABLE",AD140="CALL/SINK"),_xll.BDP($B140,Y$9,"fill=b","PRICING_SOURCE",$C$6,$AC140,$M$9,$M140,$N$9,$P140,$Q$10,$S140),_xll.BDP($B140,Y$9,"fill=b","PRICING_SOURCE",$C$6,$AC140,$M$9,$M140,$N$9,$P140,$Q$9,$S140)))</f>
        <v/>
      </c>
      <c r="Z140" s="255" t="str">
        <f>IF(B140="","",IF(OR(AD140="SINKABLE",AD140="CALL/SINK"),_xll.BDP($B140,Z$9,"fill=b","PRICING_SOURCE",$C$6,$AC140,$M$9,$M140,$N$9,$P140,$Q$10,$S140),_xll.BDP($B140,Z$9,"fill=b","PRICING_SOURCE",$C$6,$AC140,$M$9,$M140,$N$9,$P140,$Q$9,$S140)))</f>
        <v/>
      </c>
      <c r="AA140" s="166" t="str">
        <f>IF(B140="","",IF(OR(AD140="SINKABLE",AD140="CALL/SINK"),_xll.BDP($B140,AA$9,"fill=b","PRICING_SOURCE",$C$6,$AC140,$M$9,$M140,$N$9,$P140,$Q$10,$S140),_xll.BDP($B140,AA$9,"fill=b","PRICING_SOURCE",$C$6,$AC140,$M$9,$M140,$N$9,$P140,$Q$9,$S140)))</f>
        <v/>
      </c>
      <c r="AB140" s="150" t="str">
        <f>IF(B140="","",IF(LEFT(_xll.BDP($B140,AB$9,"fill=b"),1)="#","-",_xll.BDP($B140,AB$9,"fill=b")))</f>
        <v/>
      </c>
      <c r="AC140" s="150" t="str">
        <f t="shared" si="40"/>
        <v>YLD FLAG=2</v>
      </c>
      <c r="AD140" s="150" t="str">
        <f>IF(B140="","",_xll.BDP($B140,AD$9,"fill=b"))</f>
        <v/>
      </c>
      <c r="AE140" s="256" t="str">
        <f>IF(B140="","",IF(ISERROR(_xll.BDH(B140,"PX LAST",AN140,AN140,"DAYS=ALL","PRICING SOURCE",$C$6)*1),_xll.BDP(B140,"PAR AMT"),_xll.BDH(B140,"PX LAST",AN140,AN140,"DAYS=ALL","PRICING SOURCE",$C$6)))</f>
        <v/>
      </c>
      <c r="AF140" s="150" t="str">
        <f>IF(B140="","",_xll.BDP($B140,AF$9,"fill=b"))</f>
        <v/>
      </c>
      <c r="AG140" s="150"/>
      <c r="AH140" s="190" t="str">
        <f>IF(B140="","",IF($AD140="AT MATURITY",$AB140*1,_xll.BADDPERIODS(_xll.BDP($B140,"issue dt"),"numberofperiods",TRUNC(_xll.BDP($B140,"YRS_TO_LONGEST_AVG_LIFE","YLD_YTM_BID",AF140,"SETTLE_DT",U140,AC140),0),"per=y")+(ROUND(MOD(_xll.BDP(B140,"YRS_TO_LONGEST_AVG_LIFE","YLD_YTM_BID",AF140,"SETTLE_DT",U140,AC140),1)*360,0))))</f>
        <v/>
      </c>
      <c r="AI140" s="150" t="str">
        <f t="array" ref="AI140">IF(B140="","",AF140-_xll.BInterpol(_xll.BDP(_xll.BDS("YCGT0372 Index","curve members","CURVE_DATE", $U140,"endcol=1","array=true"),"maturity")*1,_xll.BDH(_xll.BDS("YCGT0372 Index","curve members","CURVE_DATE", $U140,"endcol=1","array=true"),"yld cnv mid",$U140,$U140,"days=all"),AH140,"CUBIC","Extrapolate=LINEAR","SKIP=TRUE","SORT=TRUE","MultiX=Average"))</f>
        <v/>
      </c>
      <c r="AJ140" s="189" t="str">
        <f t="shared" si="43"/>
        <v/>
      </c>
      <c r="AK140" s="257" t="str">
        <f>IF(B140="","",_xll.BDP($B140,AK$9,"fill=b"))</f>
        <v/>
      </c>
      <c r="AL140" s="257" t="str">
        <f>IF(B140="","",_xll.BDP($B140,AL$9,"fill=b"))</f>
        <v/>
      </c>
      <c r="AM140" s="256" t="str">
        <f>IF(B140="","",_xll.BDP($B140,AM$9,"fill=b"))</f>
        <v/>
      </c>
      <c r="AN140" s="150" t="str">
        <f>IF(B140="","",_xll.BDP($B140,AN$9,"fill=b"))</f>
        <v/>
      </c>
      <c r="AO140" s="150" t="str">
        <f>IF(B140="","",IF(LEFT(_xll.BDP($B140,AO$9,"fill=b"),1)="#","-",_xll.BDP($B140,AO$9,"fill=b")))</f>
        <v/>
      </c>
      <c r="AP140" s="150" t="str">
        <f>IF(B140="","",_xll.BDP($B140,AP$9,"fill=b"))</f>
        <v/>
      </c>
      <c r="AQ140" s="150" t="str">
        <f>IF(B140="","",_xll.BDP($B140,AQ$9,"fill=b"))</f>
        <v/>
      </c>
      <c r="AR140" s="150" t="str">
        <f>IF(B140="","",_xll.BDP($B140,AR$9,"fill=b"))</f>
        <v/>
      </c>
      <c r="AS140" s="150" t="str">
        <f>IF(B140="","",_xll.BDP($B140,AS$9,"fill=b"))</f>
        <v/>
      </c>
      <c r="AT140" s="150" t="str">
        <f>IF(B140="","",_xll.BDP($B140,AT$9,"fill=b"))</f>
        <v/>
      </c>
      <c r="AU140" s="258" t="str">
        <f>IF(B140="","",_xll.BDP($B140,AU$9,"fill=b"))</f>
        <v/>
      </c>
    </row>
    <row r="141" spans="2:47" ht="15" x14ac:dyDescent="0.25">
      <c r="B141" s="232"/>
      <c r="C141" s="150" t="str">
        <f>IF(B141="","",_xll.BDP($B141,C$9,"fill=b"))</f>
        <v/>
      </c>
      <c r="D141" s="150" t="str">
        <f>IF(B141="","",_xll.BDP($B141,D$9,"fill=b"))</f>
        <v/>
      </c>
      <c r="E141" s="150" t="str">
        <f>IF(B141="","",_xll.BDP($B141,E$9,"fill=b"))</f>
        <v/>
      </c>
      <c r="F141" s="150" t="str">
        <f>IF(B141="","",IF(LEFT(_xll.BDP($B141,F$9,"fill=b"),1)="#","-",_xll.BDP($B141,F$9,"fill=b")))</f>
        <v/>
      </c>
      <c r="G141" s="150" t="str">
        <f>IF(B141="","",_xll.BDP($B141,G$9,"fill=b"))</f>
        <v/>
      </c>
      <c r="H141" s="150" t="str">
        <f>IF(B141="","",_xll.BDP($B141,H$9,"fill=b"))</f>
        <v/>
      </c>
      <c r="I141" s="150" t="str" cm="1">
        <f t="array" ref="I141">IF(LEFT(_xlfn.SINGLE(_xll.BDP(B141,"REFERENCE_INDEX")),1)="#",IF(LEFT(_xlfn.SINGLE(_xll.BDP(B141, "RESET_IDX"))&amp;" Index",1)="#","",_xlfn.SINGLE(_xll.BDP(B141, "RESET_IDX"))&amp;" Index"),_xll.BDP(B141,"REFERENCE_INDEX"))</f>
        <v/>
      </c>
      <c r="J141" s="150" t="str">
        <f>IF(I141="BZDIOVRA Index",IF(_xll.BDP(B141,"FLT_SPREAD")/100=0,_xll.BDP(B141,"FLT_BENCH_MULTIPLIER"),_xll.BDP(B141,"FLT_SPREAD")/100),"")</f>
        <v/>
      </c>
      <c r="K141" s="150" t="str">
        <f>IF(B141="","",IF(LEFT(_xll.BDP($B141,K$9,"fill=b"),1)="#","-",_xll.BDP($B141,K$9,"fill=b")))</f>
        <v/>
      </c>
      <c r="L141" s="233"/>
      <c r="M141" s="234" t="str">
        <f t="shared" si="44"/>
        <v/>
      </c>
      <c r="N141" s="252" t="str">
        <f>IF(B141="","",IF(R141="",IF(OR(AD141="SINKABLE",AD141="CALL/SINK"),_xll.BDP(B141,$N$9,$M$9,M141,"PRICING SOURCE",$C$6,"FILL=B"),_xll.BDP(B141,$N$9,$M$9,M141,"PRICING SOURCE",$C$6,"FILL=B")),IF(OR(AD141="SINKABLE",AD141="CALL/SINK"),_xll.BDP(B141,$N$9,$Q$10,S141,$M$9,M141,"PRICING SOURCE",$C$6,"FILL=B"),_xll.BDP(B141,$N$9,$Q$9,S141,$M$9,M141,"PRICING SOURCE",$C$6,"FILL=B"))))</f>
        <v/>
      </c>
      <c r="O141" s="235"/>
      <c r="P141" s="236" t="str">
        <f>IF(O141="",N141,O141)</f>
        <v/>
      </c>
      <c r="Q141" s="166" t="str" cm="1">
        <f t="array" ref="Q141">IF(ISERROR((_xlfn.SINGLE(IF(OR(AD141="SINKABLE",AD141="CALL/SINK"),_xll.BDP($B141,$Q$10,"fill=b","PRICING_SOURCE",$C$6,$AC141,$N$9,$P141,$M$9,$M141),_xll.BDP($B141,Q$9,"fill=b","PRICING_SOURCE",$C$6,$AC141,$N$9,$P141,$M$9,$M141))))*1),"",IF(OR(AD141="SINKABLE",AD141="CALL/SINK"),_xll.BDP($B141,$Q$10,"fill=b","PRICING_SOURCE",$C$6,$AC141,$N$9,$P141,$M$9,$M141),_xll.BDP($B141,Q$9,"fill=b","PRICING_SOURCE",$C$6,$AC141,$N$9,$P141,$M$9,$M141)))</f>
        <v/>
      </c>
      <c r="R141" s="237"/>
      <c r="S141" s="238" t="str">
        <f>IF(R141="",Q141,R141)</f>
        <v/>
      </c>
      <c r="T141" s="239" t="str" cm="1">
        <f t="array" ref="T141">IF(ISERROR((_xlfn.SINGLE(IF(OR(AD141="SINKABLE",AD141="CALL/SINK"),_xll.BDP($B141,$Q$10,"fill=b","PRICING_SOURCE",$C$6,$AC141,$M$9,$U141,"px ask",$AE141),_xll.BDP($B141,Q$9,"fill=b","PRICING_SOURCE",$C$6,$AC141,$M$9,$U141,"px ask",$AE141))))*1),"",IF(OR(AD141="SINKABLE",AD141="CALL/SINK"),_xll.BDP($B141,$Q$10,"fill=b","PRICING_SOURCE",$C$6,$AC141,$M$9,$U141,"px ask",$AE141),_xll.BDP($B141,Q$9,"fill=b","PRICING_SOURCE",$C$6,$AC141,$M$9,$U141,"px ask",$AE141)))</f>
        <v/>
      </c>
      <c r="U141" s="240" t="str">
        <f t="shared" si="41"/>
        <v/>
      </c>
      <c r="V141" s="254" t="str">
        <f>IF(B141="","",IF(I141="BZDIOVRA Index",IF(OR(AD141="SINKABLE",AD141="CALL/SINK"),_xll.BDP($B141,"PX_ASK",$Q$10,J141,$M$9,M141),_xll.BDP($B141,"PX_"&amp;$H$7,$Q$9,J141,$M$9,M141)),_xll.BDP($B141,"PX_"&amp;$H$7,$Q$9,_xll.BDP(B141,"CPN"),$M$9,M141)))</f>
        <v/>
      </c>
      <c r="W141" s="254" t="str">
        <f t="shared" si="42"/>
        <v/>
      </c>
      <c r="X141" s="166" t="str">
        <f>IF(B141="","",IF(OR(AD141="SINKABLE",AD141="CALL/SINK"),_xll.BDP($B141,X$9,"fill=b","PRICING_SOURCE",$C$6,$AC141,$M$9,$M141,$N$9,$P141,$Q$10,$S141),_xll.BDP($B141,X$9,"fill=b","PRICING_SOURCE",$C$6,$AC141,$M$9,$M141,$N$9,$P141,$Q$9,$S141)))</f>
        <v/>
      </c>
      <c r="Y141" s="166" t="str">
        <f>IF(B141="","",IF(OR(AD141="SINKABLE",AD141="CALL/SINK"),_xll.BDP($B141,Y$9,"fill=b","PRICING_SOURCE",$C$6,$AC141,$M$9,$M141,$N$9,$P141,$Q$10,$S141),_xll.BDP($B141,Y$9,"fill=b","PRICING_SOURCE",$C$6,$AC141,$M$9,$M141,$N$9,$P141,$Q$9,$S141)))</f>
        <v/>
      </c>
      <c r="Z141" s="255" t="str">
        <f>IF(B141="","",IF(OR(AD141="SINKABLE",AD141="CALL/SINK"),_xll.BDP($B141,Z$9,"fill=b","PRICING_SOURCE",$C$6,$AC141,$M$9,$M141,$N$9,$P141,$Q$10,$S141),_xll.BDP($B141,Z$9,"fill=b","PRICING_SOURCE",$C$6,$AC141,$M$9,$M141,$N$9,$P141,$Q$9,$S141)))</f>
        <v/>
      </c>
      <c r="AA141" s="166" t="str">
        <f>IF(B141="","",IF(OR(AD141="SINKABLE",AD141="CALL/SINK"),_xll.BDP($B141,AA$9,"fill=b","PRICING_SOURCE",$C$6,$AC141,$M$9,$M141,$N$9,$P141,$Q$10,$S141),_xll.BDP($B141,AA$9,"fill=b","PRICING_SOURCE",$C$6,$AC141,$M$9,$M141,$N$9,$P141,$Q$9,$S141)))</f>
        <v/>
      </c>
      <c r="AB141" s="150" t="str">
        <f>IF(B141="","",IF(LEFT(_xll.BDP($B141,AB$9,"fill=b"),1)="#","-",_xll.BDP($B141,AB$9,"fill=b")))</f>
        <v/>
      </c>
      <c r="AC141" s="150" t="str">
        <f>IF(OR(AD141="SINKABLE",AD141="CALL/SINK"),"YLD FLAG=28",IF(OR(AD141="AT MATURITY",AD141="CALLABLE"),"YLD FLAG=1","YLD FLAG=2"))</f>
        <v>YLD FLAG=2</v>
      </c>
      <c r="AD141" s="150" t="str">
        <f>IF(B141="","",_xll.BDP($B141,AD$9,"fill=b"))</f>
        <v/>
      </c>
      <c r="AE141" s="256" t="str">
        <f>IF(B141="","",IF(ISERROR(_xll.BDH(B141,"PX LAST",AN141,AN141,"DAYS=ALL","PRICING SOURCE",$C$6)*1),_xll.BDP(B141,"PAR AMT"),_xll.BDH(B141,"PX LAST",AN141,AN141,"DAYS=ALL","PRICING SOURCE",$C$6)))</f>
        <v/>
      </c>
      <c r="AF141" s="150" t="str">
        <f>IF(B141="","",_xll.BDP($B141,AF$9,"fill=b"))</f>
        <v/>
      </c>
      <c r="AG141" s="150"/>
      <c r="AH141" s="190" t="str">
        <f>IF(B141="","",IF($AD141="AT MATURITY",$AB141*1,_xll.BADDPERIODS(_xll.BDP($B141,"issue dt"),"numberofperiods",TRUNC(_xll.BDP($B141,"YRS_TO_LONGEST_AVG_LIFE","YLD_YTM_BID",AF141,"SETTLE_DT",U141,AC141),0),"per=y")+(ROUND(MOD(_xll.BDP(B141,"YRS_TO_LONGEST_AVG_LIFE","YLD_YTM_BID",AF141,"SETTLE_DT",U141,AC141),1)*360,0))))</f>
        <v/>
      </c>
      <c r="AI141" s="150" t="str">
        <f t="array" ref="AI141">IF(B141="","",AF141-_xll.BInterpol(_xll.BDP(_xll.BDS("YCGT0372 Index","curve members","CURVE_DATE", $U141,"endcol=1","array=true"),"maturity")*1,_xll.BDH(_xll.BDS("YCGT0372 Index","curve members","CURVE_DATE", $U141,"endcol=1","array=true"),"yld cnv mid",$U141,$U141,"days=all"),AH141,"CUBIC","Extrapolate=LINEAR","SKIP=TRUE","SORT=TRUE","MultiX=Average"))</f>
        <v/>
      </c>
      <c r="AJ141" s="189" t="str">
        <f t="shared" si="43"/>
        <v/>
      </c>
      <c r="AK141" s="257" t="str">
        <f>IF(B141="","",_xll.BDP($B141,AK$9,"fill=b"))</f>
        <v/>
      </c>
      <c r="AL141" s="257" t="str">
        <f>IF(B141="","",_xll.BDP($B141,AL$9,"fill=b"))</f>
        <v/>
      </c>
      <c r="AM141" s="256" t="str">
        <f>IF(B141="","",_xll.BDP($B141,AM$9,"fill=b"))</f>
        <v/>
      </c>
      <c r="AN141" s="150" t="str">
        <f>IF(B141="","",_xll.BDP($B141,AN$9,"fill=b"))</f>
        <v/>
      </c>
      <c r="AO141" s="150" t="str">
        <f>IF(B141="","",IF(LEFT(_xll.BDP($B141,AO$9,"fill=b"),1)="#","-",_xll.BDP($B141,AO$9,"fill=b")))</f>
        <v/>
      </c>
      <c r="AP141" s="150" t="str">
        <f>IF(B141="","",_xll.BDP($B141,AP$9,"fill=b"))</f>
        <v/>
      </c>
      <c r="AQ141" s="150" t="str">
        <f>IF(B141="","",_xll.BDP($B141,AQ$9,"fill=b"))</f>
        <v/>
      </c>
      <c r="AR141" s="150" t="str">
        <f>IF(B141="","",_xll.BDP($B141,AR$9,"fill=b"))</f>
        <v/>
      </c>
      <c r="AS141" s="150" t="str">
        <f>IF(B141="","",_xll.BDP($B141,AS$9,"fill=b"))</f>
        <v/>
      </c>
      <c r="AT141" s="150" t="str">
        <f>IF(B141="","",_xll.BDP($B141,AT$9,"fill=b"))</f>
        <v/>
      </c>
      <c r="AU141" s="258" t="str">
        <f>IF(B141="","",_xll.BDP($B141,AU$9,"fill=b"))</f>
        <v/>
      </c>
    </row>
    <row r="142" spans="2:47" ht="15" x14ac:dyDescent="0.25">
      <c r="B142" s="232"/>
      <c r="C142" s="150" t="str">
        <f>IF(B142="","",_xll.BDP($B142,C$9,"fill=b"))</f>
        <v/>
      </c>
      <c r="D142" s="150" t="str">
        <f>IF(B142="","",_xll.BDP($B142,D$9,"fill=b"))</f>
        <v/>
      </c>
      <c r="E142" s="150" t="str">
        <f>IF(B142="","",_xll.BDP($B142,E$9,"fill=b"))</f>
        <v/>
      </c>
      <c r="F142" s="150" t="str">
        <f>IF(B142="","",IF(LEFT(_xll.BDP($B142,F$9,"fill=b"),1)="#","-",_xll.BDP($B142,F$9,"fill=b")))</f>
        <v/>
      </c>
      <c r="G142" s="150" t="str">
        <f>IF(B142="","",_xll.BDP($B142,G$9,"fill=b"))</f>
        <v/>
      </c>
      <c r="H142" s="150" t="str">
        <f>IF(B142="","",_xll.BDP($B142,H$9,"fill=b"))</f>
        <v/>
      </c>
      <c r="I142" s="150" t="str" cm="1">
        <f t="array" ref="I142">IF(LEFT(_xlfn.SINGLE(_xll.BDP(B142,"REFERENCE_INDEX")),1)="#",IF(LEFT(_xlfn.SINGLE(_xll.BDP(B142, "RESET_IDX"))&amp;" Index",1)="#","",_xlfn.SINGLE(_xll.BDP(B142, "RESET_IDX"))&amp;" Index"),_xll.BDP(B142,"REFERENCE_INDEX"))</f>
        <v/>
      </c>
      <c r="J142" s="150" t="str">
        <f>IF(I142="BZDIOVRA Index",IF(_xll.BDP(B142,"FLT_SPREAD")/100=0,_xll.BDP(B142,"FLT_BENCH_MULTIPLIER"),_xll.BDP(B142,"FLT_SPREAD")/100),"")</f>
        <v/>
      </c>
      <c r="K142" s="150" t="str">
        <f>IF(B142="","",IF(LEFT(_xll.BDP($B142,K$9,"fill=b"),1)="#","-",_xll.BDP($B142,K$9,"fill=b")))</f>
        <v/>
      </c>
      <c r="L142" s="233"/>
      <c r="M142" s="234" t="str">
        <f t="shared" si="44"/>
        <v/>
      </c>
      <c r="N142" s="252" t="str">
        <f>IF(B142="","",IF(R142="",IF(OR(AD142="SINKABLE",AD142="CALL/SINK"),_xll.BDP(B142,$N$9,$M$9,M142,"PRICING SOURCE",$C$6,"FILL=B"),_xll.BDP(B142,$N$9,$M$9,M142,"PRICING SOURCE",$C$6,"FILL=B")),IF(OR(AD142="SINKABLE",AD142="CALL/SINK"),_xll.BDP(B142,$N$9,$Q$10,S142,$M$9,M142,"PRICING SOURCE",$C$6,"FILL=B"),_xll.BDP(B142,$N$9,$Q$9,S142,$M$9,M142,"PRICING SOURCE",$C$6,"FILL=B"))))</f>
        <v/>
      </c>
      <c r="O142" s="235"/>
      <c r="P142" s="236" t="str">
        <f>IF(O142="",N142,O142)</f>
        <v/>
      </c>
      <c r="Q142" s="166" t="str" cm="1">
        <f t="array" ref="Q142">IF(ISERROR((_xlfn.SINGLE(IF(OR(AD142="SINKABLE",AD142="CALL/SINK"),_xll.BDP($B142,$Q$10,"fill=b","PRICING_SOURCE",$C$6,$AC142,$N$9,$P142,$M$9,$M142),_xll.BDP($B142,Q$9,"fill=b","PRICING_SOURCE",$C$6,$AC142,$N$9,$P142,$M$9,$M142))))*1),"",IF(OR(AD142="SINKABLE",AD142="CALL/SINK"),_xll.BDP($B142,$Q$10,"fill=b","PRICING_SOURCE",$C$6,$AC142,$N$9,$P142,$M$9,$M142),_xll.BDP($B142,Q$9,"fill=b","PRICING_SOURCE",$C$6,$AC142,$N$9,$P142,$M$9,$M142)))</f>
        <v/>
      </c>
      <c r="R142" s="237"/>
      <c r="S142" s="238" t="str">
        <f>IF(R142="",Q142,R142)</f>
        <v/>
      </c>
      <c r="T142" s="239" t="str" cm="1">
        <f t="array" ref="T142">IF(ISERROR((_xlfn.SINGLE(IF(OR(AD142="SINKABLE",AD142="CALL/SINK"),_xll.BDP($B142,$Q$10,"fill=b","PRICING_SOURCE",$C$6,$AC142,$M$9,$U142,"px ask",$AE142),_xll.BDP($B142,Q$9,"fill=b","PRICING_SOURCE",$C$6,$AC142,$M$9,$U142,"px ask",$AE142))))*1),"",IF(OR(AD142="SINKABLE",AD142="CALL/SINK"),_xll.BDP($B142,$Q$10,"fill=b","PRICING_SOURCE",$C$6,$AC142,$M$9,$U142,"px ask",$AE142),_xll.BDP($B142,Q$9,"fill=b","PRICING_SOURCE",$C$6,$AC142,$M$9,$U142,"px ask",$AE142)))</f>
        <v/>
      </c>
      <c r="U142" s="240" t="str">
        <f t="shared" si="41"/>
        <v/>
      </c>
      <c r="V142" s="254" t="str">
        <f>IF(B142="","",IF(I142="BZDIOVRA Index",IF(OR(AD142="SINKABLE",AD142="CALL/SINK"),_xll.BDP($B142,"PX_ASK",$Q$10,J142,$M$9,M142),_xll.BDP($B142,"PX_"&amp;$H$7,$Q$9,J142,$M$9,M142)),_xll.BDP($B142,"PX_"&amp;$H$7,$Q$9,_xll.BDP(B142,"CPN"),$M$9,M142)))</f>
        <v/>
      </c>
      <c r="W142" s="254" t="str">
        <f t="shared" si="42"/>
        <v/>
      </c>
      <c r="X142" s="166" t="str">
        <f>IF(B142="","",IF(OR(AD142="SINKABLE",AD142="CALL/SINK"),_xll.BDP($B142,X$9,"fill=b","PRICING_SOURCE",$C$6,$AC142,$M$9,$M142,$N$9,$P142,$Q$10,$S142),_xll.BDP($B142,X$9,"fill=b","PRICING_SOURCE",$C$6,$AC142,$M$9,$M142,$N$9,$P142,$Q$9,$S142)))</f>
        <v/>
      </c>
      <c r="Y142" s="166" t="str">
        <f>IF(B142="","",IF(OR(AD142="SINKABLE",AD142="CALL/SINK"),_xll.BDP($B142,Y$9,"fill=b","PRICING_SOURCE",$C$6,$AC142,$M$9,$M142,$N$9,$P142,$Q$10,$S142),_xll.BDP($B142,Y$9,"fill=b","PRICING_SOURCE",$C$6,$AC142,$M$9,$M142,$N$9,$P142,$Q$9,$S142)))</f>
        <v/>
      </c>
      <c r="Z142" s="255" t="str">
        <f>IF(B142="","",IF(OR(AD142="SINKABLE",AD142="CALL/SINK"),_xll.BDP($B142,Z$9,"fill=b","PRICING_SOURCE",$C$6,$AC142,$M$9,$M142,$N$9,$P142,$Q$10,$S142),_xll.BDP($B142,Z$9,"fill=b","PRICING_SOURCE",$C$6,$AC142,$M$9,$M142,$N$9,$P142,$Q$9,$S142)))</f>
        <v/>
      </c>
      <c r="AA142" s="166" t="str">
        <f>IF(B142="","",IF(OR(AD142="SINKABLE",AD142="CALL/SINK"),_xll.BDP($B142,AA$9,"fill=b","PRICING_SOURCE",$C$6,$AC142,$M$9,$M142,$N$9,$P142,$Q$10,$S142),_xll.BDP($B142,AA$9,"fill=b","PRICING_SOURCE",$C$6,$AC142,$M$9,$M142,$N$9,$P142,$Q$9,$S142)))</f>
        <v/>
      </c>
      <c r="AB142" s="150" t="str">
        <f>IF(B142="","",IF(LEFT(_xll.BDP($B142,AB$9,"fill=b"),1)="#","-",_xll.BDP($B142,AB$9,"fill=b")))</f>
        <v/>
      </c>
      <c r="AC142" s="150" t="str">
        <f>IF(OR(AD142="SINKABLE",AD142="CALL/SINK"),"YLD FLAG=28",IF(OR(AD142="AT MATURITY",AD142="CALLABLE"),"YLD FLAG=1","YLD FLAG=2"))</f>
        <v>YLD FLAG=2</v>
      </c>
      <c r="AD142" s="150" t="str">
        <f>IF(B142="","",_xll.BDP($B142,AD$9,"fill=b"))</f>
        <v/>
      </c>
      <c r="AE142" s="256" t="str">
        <f>IF(B142="","",IF(ISERROR(_xll.BDH(B142,"PX LAST",AN142,AN142,"DAYS=ALL","PRICING SOURCE",$C$6)*1),_xll.BDP(B142,"PAR AMT"),_xll.BDH(B142,"PX LAST",AN142,AN142,"DAYS=ALL","PRICING SOURCE",$C$6)))</f>
        <v/>
      </c>
      <c r="AF142" s="150" t="str">
        <f>IF(B142="","",_xll.BDP($B142,AF$9,"fill=b"))</f>
        <v/>
      </c>
      <c r="AG142" s="150"/>
      <c r="AH142" s="190" t="str">
        <f>IF(B142="","",IF($AD142="AT MATURITY",$AB142*1,_xll.BADDPERIODS(_xll.BDP($B142,"issue dt"),"numberofperiods",TRUNC(_xll.BDP($B142,"YRS_TO_LONGEST_AVG_LIFE","YLD_YTM_BID",AF142,"SETTLE_DT",U142,AC142),0),"per=y")+(ROUND(MOD(_xll.BDP(B142,"YRS_TO_LONGEST_AVG_LIFE","YLD_YTM_BID",AF142,"SETTLE_DT",U142,AC142),1)*360,0))))</f>
        <v/>
      </c>
      <c r="AI142" s="150" t="str">
        <f t="array" ref="AI142">IF(B142="","",AF142-_xll.BInterpol(_xll.BDP(_xll.BDS("YCGT0372 Index","curve members","CURVE_DATE", $U142,"endcol=1","array=true"),"maturity")*1,_xll.BDH(_xll.BDS("YCGT0372 Index","curve members","CURVE_DATE", $U142,"endcol=1","array=true"),"yld cnv mid",$U142,$U142,"days=all"),AH142,"CUBIC","Extrapolate=LINEAR","SKIP=TRUE","SORT=TRUE","MultiX=Average"))</f>
        <v/>
      </c>
      <c r="AJ142" s="189" t="str">
        <f t="shared" si="43"/>
        <v/>
      </c>
      <c r="AK142" s="257" t="str">
        <f>IF(B142="","",_xll.BDP($B142,AK$9,"fill=b"))</f>
        <v/>
      </c>
      <c r="AL142" s="257" t="str">
        <f>IF(B142="","",_xll.BDP($B142,AL$9,"fill=b"))</f>
        <v/>
      </c>
      <c r="AM142" s="256" t="str">
        <f>IF(B142="","",_xll.BDP($B142,AM$9,"fill=b"))</f>
        <v/>
      </c>
      <c r="AN142" s="150" t="str">
        <f>IF(B142="","",_xll.BDP($B142,AN$9,"fill=b"))</f>
        <v/>
      </c>
      <c r="AO142" s="150" t="str">
        <f>IF(B142="","",IF(LEFT(_xll.BDP($B142,AO$9,"fill=b"),1)="#","-",_xll.BDP($B142,AO$9,"fill=b")))</f>
        <v/>
      </c>
      <c r="AP142" s="150" t="str">
        <f>IF(B142="","",_xll.BDP($B142,AP$9,"fill=b"))</f>
        <v/>
      </c>
      <c r="AQ142" s="150" t="str">
        <f>IF(B142="","",_xll.BDP($B142,AQ$9,"fill=b"))</f>
        <v/>
      </c>
      <c r="AR142" s="150" t="str">
        <f>IF(B142="","",_xll.BDP($B142,AR$9,"fill=b"))</f>
        <v/>
      </c>
      <c r="AS142" s="150" t="str">
        <f>IF(B142="","",_xll.BDP($B142,AS$9,"fill=b"))</f>
        <v/>
      </c>
      <c r="AT142" s="150" t="str">
        <f>IF(B142="","",_xll.BDP($B142,AT$9,"fill=b"))</f>
        <v/>
      </c>
      <c r="AU142" s="258" t="str">
        <f>IF(B142="","",_xll.BDP($B142,AU$9,"fill=b"))</f>
        <v/>
      </c>
    </row>
    <row r="143" spans="2:47" ht="15" x14ac:dyDescent="0.25">
      <c r="B143" s="232"/>
      <c r="C143" s="150" t="str">
        <f>IF(B143="","",_xll.BDP($B143,C$9,"fill=b"))</f>
        <v/>
      </c>
      <c r="D143" s="150" t="str">
        <f>IF(B143="","",_xll.BDP($B143,D$9,"fill=b"))</f>
        <v/>
      </c>
      <c r="E143" s="150" t="str">
        <f>IF(B143="","",_xll.BDP($B143,E$9,"fill=b"))</f>
        <v/>
      </c>
      <c r="F143" s="150" t="str">
        <f>IF(B143="","",IF(LEFT(_xll.BDP($B143,F$9,"fill=b"),1)="#","-",_xll.BDP($B143,F$9,"fill=b")))</f>
        <v/>
      </c>
      <c r="G143" s="150" t="str">
        <f>IF(B143="","",_xll.BDP($B143,G$9,"fill=b"))</f>
        <v/>
      </c>
      <c r="H143" s="150" t="str">
        <f>IF(B143="","",_xll.BDP($B143,H$9,"fill=b"))</f>
        <v/>
      </c>
      <c r="I143" s="150" t="str" cm="1">
        <f t="array" ref="I143">IF(LEFT(_xlfn.SINGLE(_xll.BDP(B143,"REFERENCE_INDEX")),1)="#",IF(LEFT(_xlfn.SINGLE(_xll.BDP(B143, "RESET_IDX"))&amp;" Index",1)="#","",_xlfn.SINGLE(_xll.BDP(B143, "RESET_IDX"))&amp;" Index"),_xll.BDP(B143,"REFERENCE_INDEX"))</f>
        <v/>
      </c>
      <c r="J143" s="150" t="str">
        <f>IF(I143="BZDIOVRA Index",IF(_xll.BDP(B143,"FLT_SPREAD")/100=0,_xll.BDP(B143,"FLT_BENCH_MULTIPLIER"),_xll.BDP(B143,"FLT_SPREAD")/100),"")</f>
        <v/>
      </c>
      <c r="K143" s="150" t="str">
        <f>IF(B143="","",IF(LEFT(_xll.BDP($B143,K$9,"fill=b"),1)="#","-",_xll.BDP($B143,K$9,"fill=b")))</f>
        <v/>
      </c>
      <c r="L143" s="233"/>
      <c r="M143" s="234" t="str">
        <f t="shared" si="44"/>
        <v/>
      </c>
      <c r="N143" s="252" t="str">
        <f>IF(B143="","",IF(R143="",IF(OR(AD143="SINKABLE",AD143="CALL/SINK"),_xll.BDP(B143,$N$9,$M$9,M143,"PRICING SOURCE",$C$6,"FILL=B"),_xll.BDP(B143,$N$9,$M$9,M143,"PRICING SOURCE",$C$6,"FILL=B")),IF(OR(AD143="SINKABLE",AD143="CALL/SINK"),_xll.BDP(B143,$N$9,$Q$10,S143,$M$9,M143,"PRICING SOURCE",$C$6,"FILL=B"),_xll.BDP(B143,$N$9,$Q$9,S143,$M$9,M143,"PRICING SOURCE",$C$6,"FILL=B"))))</f>
        <v/>
      </c>
      <c r="O143" s="235"/>
      <c r="P143" s="236" t="str">
        <f>IF(O143="",N143,O143)</f>
        <v/>
      </c>
      <c r="Q143" s="166" t="str" cm="1">
        <f t="array" ref="Q143">IF(ISERROR((_xlfn.SINGLE(IF(OR(AD143="SINKABLE",AD143="CALL/SINK"),_xll.BDP($B143,$Q$10,"fill=b","PRICING_SOURCE",$C$6,$AC143,$N$9,$P143,$M$9,$M143),_xll.BDP($B143,Q$9,"fill=b","PRICING_SOURCE",$C$6,$AC143,$N$9,$P143,$M$9,$M143))))*1),"",IF(OR(AD143="SINKABLE",AD143="CALL/SINK"),_xll.BDP($B143,$Q$10,"fill=b","PRICING_SOURCE",$C$6,$AC143,$N$9,$P143,$M$9,$M143),_xll.BDP($B143,Q$9,"fill=b","PRICING_SOURCE",$C$6,$AC143,$N$9,$P143,$M$9,$M143)))</f>
        <v/>
      </c>
      <c r="R143" s="237"/>
      <c r="S143" s="238" t="str">
        <f>IF(R143="",Q143,R143)</f>
        <v/>
      </c>
      <c r="T143" s="239" t="str" cm="1">
        <f t="array" ref="T143">IF(ISERROR((_xlfn.SINGLE(IF(OR(AD143="SINKABLE",AD143="CALL/SINK"),_xll.BDP($B143,$Q$10,"fill=b","PRICING_SOURCE",$C$6,$AC143,$M$9,$U143,"px ask",$AE143),_xll.BDP($B143,Q$9,"fill=b","PRICING_SOURCE",$C$6,$AC143,$M$9,$U143,"px ask",$AE143))))*1),"",IF(OR(AD143="SINKABLE",AD143="CALL/SINK"),_xll.BDP($B143,$Q$10,"fill=b","PRICING_SOURCE",$C$6,$AC143,$M$9,$U143,"px ask",$AE143),_xll.BDP($B143,Q$9,"fill=b","PRICING_SOURCE",$C$6,$AC143,$M$9,$U143,"px ask",$AE143)))</f>
        <v/>
      </c>
      <c r="U143" s="240" t="str">
        <f t="shared" si="41"/>
        <v/>
      </c>
      <c r="V143" s="254" t="str">
        <f>IF(B143="","",IF(I143="BZDIOVRA Index",IF(OR(AD143="SINKABLE",AD143="CALL/SINK"),_xll.BDP($B143,"PX_ASK",$Q$10,J143,$M$9,M143),_xll.BDP($B143,"PX_"&amp;$H$7,$Q$9,J143,$M$9,M143)),_xll.BDP($B143,"PX_"&amp;$H$7,$Q$9,_xll.BDP(B143,"CPN"),$M$9,M143)))</f>
        <v/>
      </c>
      <c r="W143" s="254" t="str">
        <f t="shared" si="42"/>
        <v/>
      </c>
      <c r="X143" s="166" t="str">
        <f>IF(B143="","",IF(OR(AD143="SINKABLE",AD143="CALL/SINK"),_xll.BDP($B143,X$9,"fill=b","PRICING_SOURCE",$C$6,$AC143,$M$9,$M143,$N$9,$P143,$Q$10,$S143),_xll.BDP($B143,X$9,"fill=b","PRICING_SOURCE",$C$6,$AC143,$M$9,$M143,$N$9,$P143,$Q$9,$S143)))</f>
        <v/>
      </c>
      <c r="Y143" s="166" t="str">
        <f>IF(B143="","",IF(OR(AD143="SINKABLE",AD143="CALL/SINK"),_xll.BDP($B143,Y$9,"fill=b","PRICING_SOURCE",$C$6,$AC143,$M$9,$M143,$N$9,$P143,$Q$10,$S143),_xll.BDP($B143,Y$9,"fill=b","PRICING_SOURCE",$C$6,$AC143,$M$9,$M143,$N$9,$P143,$Q$9,$S143)))</f>
        <v/>
      </c>
      <c r="Z143" s="255" t="str">
        <f>IF(B143="","",IF(OR(AD143="SINKABLE",AD143="CALL/SINK"),_xll.BDP($B143,Z$9,"fill=b","PRICING_SOURCE",$C$6,$AC143,$M$9,$M143,$N$9,$P143,$Q$10,$S143),_xll.BDP($B143,Z$9,"fill=b","PRICING_SOURCE",$C$6,$AC143,$M$9,$M143,$N$9,$P143,$Q$9,$S143)))</f>
        <v/>
      </c>
      <c r="AA143" s="166" t="str">
        <f>IF(B143="","",IF(OR(AD143="SINKABLE",AD143="CALL/SINK"),_xll.BDP($B143,AA$9,"fill=b","PRICING_SOURCE",$C$6,$AC143,$M$9,$M143,$N$9,$P143,$Q$10,$S143),_xll.BDP($B143,AA$9,"fill=b","PRICING_SOURCE",$C$6,$AC143,$M$9,$M143,$N$9,$P143,$Q$9,$S143)))</f>
        <v/>
      </c>
      <c r="AB143" s="150" t="str">
        <f>IF(B143="","",IF(LEFT(_xll.BDP($B143,AB$9,"fill=b"),1)="#","-",_xll.BDP($B143,AB$9,"fill=b")))</f>
        <v/>
      </c>
      <c r="AC143" s="150" t="str">
        <f>IF(OR(AD143="SINKABLE",AD143="CALL/SINK"),"YLD FLAG=28",IF(OR(AD143="AT MATURITY",AD143="CALLABLE"),"YLD FLAG=1","YLD FLAG=2"))</f>
        <v>YLD FLAG=2</v>
      </c>
      <c r="AD143" s="150" t="str">
        <f>IF(B143="","",_xll.BDP($B143,AD$9,"fill=b"))</f>
        <v/>
      </c>
      <c r="AE143" s="256" t="str">
        <f>IF(B143="","",IF(ISERROR(_xll.BDH(B143,"PX LAST",AN143,AN143,"DAYS=ALL","PRICING SOURCE",$C$6)*1),_xll.BDP(B143,"PAR AMT"),_xll.BDH(B143,"PX LAST",AN143,AN143,"DAYS=ALL","PRICING SOURCE",$C$6)))</f>
        <v/>
      </c>
      <c r="AF143" s="150" t="str">
        <f>IF(B143="","",_xll.BDP($B143,AF$9,"fill=b"))</f>
        <v/>
      </c>
      <c r="AG143" s="150"/>
      <c r="AH143" s="190" t="str">
        <f>IF(B143="","",IF($AD143="AT MATURITY",$AB143*1,_xll.BADDPERIODS(_xll.BDP($B143,"issue dt"),"numberofperiods",TRUNC(_xll.BDP($B143,"YRS_TO_LONGEST_AVG_LIFE","YLD_YTM_BID",AF143,"SETTLE_DT",U143,AC143),0),"per=y")+(ROUND(MOD(_xll.BDP(B143,"YRS_TO_LONGEST_AVG_LIFE","YLD_YTM_BID",AF143,"SETTLE_DT",U143,AC143),1)*360,0))))</f>
        <v/>
      </c>
      <c r="AI143" s="150" t="str">
        <f t="array" ref="AI143">IF(B143="","",AF143-_xll.BInterpol(_xll.BDP(_xll.BDS("YCGT0372 Index","curve members","CURVE_DATE", $U143,"endcol=1","array=true"),"maturity")*1,_xll.BDH(_xll.BDS("YCGT0372 Index","curve members","CURVE_DATE", $U143,"endcol=1","array=true"),"yld cnv mid",$U143,$U143,"days=all"),AH143,"CUBIC","Extrapolate=LINEAR","SKIP=TRUE","SORT=TRUE","MultiX=Average"))</f>
        <v/>
      </c>
      <c r="AJ143" s="189" t="str">
        <f t="shared" si="43"/>
        <v/>
      </c>
      <c r="AK143" s="257" t="str">
        <f>IF(B143="","",_xll.BDP($B143,AK$9,"fill=b"))</f>
        <v/>
      </c>
      <c r="AL143" s="257" t="str">
        <f>IF(B143="","",_xll.BDP($B143,AL$9,"fill=b"))</f>
        <v/>
      </c>
      <c r="AM143" s="256" t="str">
        <f>IF(B143="","",_xll.BDP($B143,AM$9,"fill=b"))</f>
        <v/>
      </c>
      <c r="AN143" s="150" t="str">
        <f>IF(B143="","",_xll.BDP($B143,AN$9,"fill=b"))</f>
        <v/>
      </c>
      <c r="AO143" s="150" t="str">
        <f>IF(B143="","",IF(LEFT(_xll.BDP($B143,AO$9,"fill=b"),1)="#","-",_xll.BDP($B143,AO$9,"fill=b")))</f>
        <v/>
      </c>
      <c r="AP143" s="150" t="str">
        <f>IF(B143="","",_xll.BDP($B143,AP$9,"fill=b"))</f>
        <v/>
      </c>
      <c r="AQ143" s="150" t="str">
        <f>IF(B143="","",_xll.BDP($B143,AQ$9,"fill=b"))</f>
        <v/>
      </c>
      <c r="AR143" s="150" t="str">
        <f>IF(B143="","",_xll.BDP($B143,AR$9,"fill=b"))</f>
        <v/>
      </c>
      <c r="AS143" s="150" t="str">
        <f>IF(B143="","",_xll.BDP($B143,AS$9,"fill=b"))</f>
        <v/>
      </c>
      <c r="AT143" s="150" t="str">
        <f>IF(B143="","",_xll.BDP($B143,AT$9,"fill=b"))</f>
        <v/>
      </c>
      <c r="AU143" s="258" t="str">
        <f>IF(B143="","",_xll.BDP($B143,AU$9,"fill=b"))</f>
        <v/>
      </c>
    </row>
    <row r="144" spans="2:47" ht="15" x14ac:dyDescent="0.25">
      <c r="B144" s="232"/>
      <c r="C144" s="150" t="str">
        <f>IF(B144="","",_xll.BDP($B144,C$9,"fill=b"))</f>
        <v/>
      </c>
      <c r="D144" s="150" t="str">
        <f>IF(B144="","",_xll.BDP($B144,D$9,"fill=b"))</f>
        <v/>
      </c>
      <c r="E144" s="150" t="str">
        <f>IF(B144="","",_xll.BDP($B144,E$9,"fill=b"))</f>
        <v/>
      </c>
      <c r="F144" s="150" t="str">
        <f>IF(B144="","",IF(LEFT(_xll.BDP($B144,F$9,"fill=b"),1)="#","-",_xll.BDP($B144,F$9,"fill=b")))</f>
        <v/>
      </c>
      <c r="G144" s="150" t="str">
        <f>IF(B144="","",_xll.BDP($B144,G$9,"fill=b"))</f>
        <v/>
      </c>
      <c r="H144" s="150" t="str">
        <f>IF(B144="","",_xll.BDP($B144,H$9,"fill=b"))</f>
        <v/>
      </c>
      <c r="I144" s="150" t="str" cm="1">
        <f t="array" ref="I144">IF(LEFT(_xlfn.SINGLE(_xll.BDP(B144,"REFERENCE_INDEX")),1)="#",IF(LEFT(_xlfn.SINGLE(_xll.BDP(B144, "RESET_IDX"))&amp;" Index",1)="#","",_xlfn.SINGLE(_xll.BDP(B144, "RESET_IDX"))&amp;" Index"),_xll.BDP(B144,"REFERENCE_INDEX"))</f>
        <v/>
      </c>
      <c r="J144" s="150" t="str">
        <f>IF(I144="BZDIOVRA Index",IF(_xll.BDP(B144,"FLT_SPREAD")/100=0,_xll.BDP(B144,"FLT_BENCH_MULTIPLIER"),_xll.BDP(B144,"FLT_SPREAD")/100),"")</f>
        <v/>
      </c>
      <c r="K144" s="150" t="str">
        <f>IF(B144="","",IF(LEFT(_xll.BDP($B144,K$9,"fill=b"),1)="#","-",_xll.BDP($B144,K$9,"fill=b")))</f>
        <v/>
      </c>
      <c r="L144" s="233"/>
      <c r="M144" s="234" t="str">
        <f t="shared" si="44"/>
        <v/>
      </c>
      <c r="N144" s="252" t="str">
        <f>IF(B144="","",IF(R144="",IF(OR(AD144="SINKABLE",AD144="CALL/SINK"),_xll.BDP(B144,$N$9,$M$9,M144,"PRICING SOURCE",$C$6,"FILL=B"),_xll.BDP(B144,$N$9,$M$9,M144,"PRICING SOURCE",$C$6,"FILL=B")),IF(OR(AD144="SINKABLE",AD144="CALL/SINK"),_xll.BDP(B144,$N$9,$Q$10,S144,$M$9,M144,"PRICING SOURCE",$C$6,"FILL=B"),_xll.BDP(B144,$N$9,$Q$9,S144,$M$9,M144,"PRICING SOURCE",$C$6,"FILL=B"))))</f>
        <v/>
      </c>
      <c r="O144" s="235"/>
      <c r="P144" s="236" t="str">
        <f>IF(O144="",N144,O144)</f>
        <v/>
      </c>
      <c r="Q144" s="166" t="str" cm="1">
        <f t="array" ref="Q144">IF(ISERROR((_xlfn.SINGLE(IF(OR(AD144="SINKABLE",AD144="CALL/SINK"),_xll.BDP($B144,$Q$10,"fill=b","PRICING_SOURCE",$C$6,$AC144,$N$9,$P144,$M$9,$M144),_xll.BDP($B144,Q$9,"fill=b","PRICING_SOURCE",$C$6,$AC144,$N$9,$P144,$M$9,$M144))))*1),"",IF(OR(AD144="SINKABLE",AD144="CALL/SINK"),_xll.BDP($B144,$Q$10,"fill=b","PRICING_SOURCE",$C$6,$AC144,$N$9,$P144,$M$9,$M144),_xll.BDP($B144,Q$9,"fill=b","PRICING_SOURCE",$C$6,$AC144,$N$9,$P144,$M$9,$M144)))</f>
        <v/>
      </c>
      <c r="R144" s="237"/>
      <c r="S144" s="238" t="str">
        <f>IF(R144="",Q144,R144)</f>
        <v/>
      </c>
      <c r="T144" s="239" t="str" cm="1">
        <f t="array" ref="T144">IF(ISERROR((_xlfn.SINGLE(IF(OR(AD144="SINKABLE",AD144="CALL/SINK"),_xll.BDP($B144,$Q$10,"fill=b","PRICING_SOURCE",$C$6,$AC144,$M$9,$U144,"px ask",$AE144),_xll.BDP($B144,Q$9,"fill=b","PRICING_SOURCE",$C$6,$AC144,$M$9,$U144,"px ask",$AE144))))*1),"",IF(OR(AD144="SINKABLE",AD144="CALL/SINK"),_xll.BDP($B144,$Q$10,"fill=b","PRICING_SOURCE",$C$6,$AC144,$M$9,$U144,"px ask",$AE144),_xll.BDP($B144,Q$9,"fill=b","PRICING_SOURCE",$C$6,$AC144,$M$9,$U144,"px ask",$AE144)))</f>
        <v/>
      </c>
      <c r="U144" s="240" t="str">
        <f t="shared" si="41"/>
        <v/>
      </c>
      <c r="V144" s="254" t="str">
        <f>IF(B144="","",IF(I144="BZDIOVRA Index",IF(OR(AD144="SINKABLE",AD144="CALL/SINK"),_xll.BDP($B144,"PX_ASK",$Q$10,J144,$M$9,M144),_xll.BDP($B144,"PX_"&amp;$H$7,$Q$9,J144,$M$9,M144)),_xll.BDP($B144,"PX_"&amp;$H$7,$Q$9,_xll.BDP(B144,"CPN"),$M$9,M144)))</f>
        <v/>
      </c>
      <c r="W144" s="254" t="str">
        <f t="shared" si="42"/>
        <v/>
      </c>
      <c r="X144" s="166" t="str">
        <f>IF(B144="","",IF(OR(AD144="SINKABLE",AD144="CALL/SINK"),_xll.BDP($B144,X$9,"fill=b","PRICING_SOURCE",$C$6,$AC144,$M$9,$M144,$N$9,$P144,$Q$10,$S144),_xll.BDP($B144,X$9,"fill=b","PRICING_SOURCE",$C$6,$AC144,$M$9,$M144,$N$9,$P144,$Q$9,$S144)))</f>
        <v/>
      </c>
      <c r="Y144" s="166" t="str">
        <f>IF(B144="","",IF(OR(AD144="SINKABLE",AD144="CALL/SINK"),_xll.BDP($B144,Y$9,"fill=b","PRICING_SOURCE",$C$6,$AC144,$M$9,$M144,$N$9,$P144,$Q$10,$S144),_xll.BDP($B144,Y$9,"fill=b","PRICING_SOURCE",$C$6,$AC144,$M$9,$M144,$N$9,$P144,$Q$9,$S144)))</f>
        <v/>
      </c>
      <c r="Z144" s="255" t="str">
        <f>IF(B144="","",IF(OR(AD144="SINKABLE",AD144="CALL/SINK"),_xll.BDP($B144,Z$9,"fill=b","PRICING_SOURCE",$C$6,$AC144,$M$9,$M144,$N$9,$P144,$Q$10,$S144),_xll.BDP($B144,Z$9,"fill=b","PRICING_SOURCE",$C$6,$AC144,$M$9,$M144,$N$9,$P144,$Q$9,$S144)))</f>
        <v/>
      </c>
      <c r="AA144" s="166" t="str">
        <f>IF(B144="","",IF(OR(AD144="SINKABLE",AD144="CALL/SINK"),_xll.BDP($B144,AA$9,"fill=b","PRICING_SOURCE",$C$6,$AC144,$M$9,$M144,$N$9,$P144,$Q$10,$S144),_xll.BDP($B144,AA$9,"fill=b","PRICING_SOURCE",$C$6,$AC144,$M$9,$M144,$N$9,$P144,$Q$9,$S144)))</f>
        <v/>
      </c>
      <c r="AB144" s="150" t="str">
        <f>IF(B144="","",IF(LEFT(_xll.BDP($B144,AB$9,"fill=b"),1)="#","-",_xll.BDP($B144,AB$9,"fill=b")))</f>
        <v/>
      </c>
      <c r="AC144" s="150" t="str">
        <f>IF(OR(AD144="SINKABLE",AD144="CALL/SINK"),"YLD FLAG=28",IF(OR(AD144="AT MATURITY",AD144="CALLABLE"),"YLD FLAG=1","YLD FLAG=2"))</f>
        <v>YLD FLAG=2</v>
      </c>
      <c r="AD144" s="150" t="str">
        <f>IF(B144="","",_xll.BDP($B144,AD$9,"fill=b"))</f>
        <v/>
      </c>
      <c r="AE144" s="256" t="str">
        <f>IF(B144="","",IF(ISERROR(_xll.BDH(B144,"PX LAST",AN144,AN144,"DAYS=ALL","PRICING SOURCE",$C$6)*1),_xll.BDP(B144,"PAR AMT"),_xll.BDH(B144,"PX LAST",AN144,AN144,"DAYS=ALL","PRICING SOURCE",$C$6)))</f>
        <v/>
      </c>
      <c r="AF144" s="150" t="str">
        <f>IF(B144="","",_xll.BDP($B144,AF$9,"fill=b"))</f>
        <v/>
      </c>
      <c r="AG144" s="150"/>
      <c r="AH144" s="190" t="str">
        <f>IF(B144="","",IF($AD144="AT MATURITY",$AB144*1,_xll.BADDPERIODS(_xll.BDP($B144,"issue dt"),"numberofperiods",TRUNC(_xll.BDP($B144,"YRS_TO_LONGEST_AVG_LIFE","YLD_YTM_BID",AF144,"SETTLE_DT",U144,AC144),0),"per=y")+(ROUND(MOD(_xll.BDP(B144,"YRS_TO_LONGEST_AVG_LIFE","YLD_YTM_BID",AF144,"SETTLE_DT",U144,AC144),1)*360,0))))</f>
        <v/>
      </c>
      <c r="AI144" s="150" t="str">
        <f t="array" ref="AI144">IF(B144="","",AF144-_xll.BInterpol(_xll.BDP(_xll.BDS("YCGT0372 Index","curve members","CURVE_DATE", $U144,"endcol=1","array=true"),"maturity")*1,_xll.BDH(_xll.BDS("YCGT0372 Index","curve members","CURVE_DATE", $U144,"endcol=1","array=true"),"yld cnv mid",$U144,$U144,"days=all"),AH144,"CUBIC","Extrapolate=LINEAR","SKIP=TRUE","SORT=TRUE","MultiX=Average"))</f>
        <v/>
      </c>
      <c r="AJ144" s="189" t="str">
        <f t="shared" si="43"/>
        <v/>
      </c>
      <c r="AK144" s="257" t="str">
        <f>IF(B144="","",_xll.BDP($B144,AK$9,"fill=b"))</f>
        <v/>
      </c>
      <c r="AL144" s="257" t="str">
        <f>IF(B144="","",_xll.BDP($B144,AL$9,"fill=b"))</f>
        <v/>
      </c>
      <c r="AM144" s="256" t="str">
        <f>IF(B144="","",_xll.BDP($B144,AM$9,"fill=b"))</f>
        <v/>
      </c>
      <c r="AN144" s="150" t="str">
        <f>IF(B144="","",_xll.BDP($B144,AN$9,"fill=b"))</f>
        <v/>
      </c>
      <c r="AO144" s="150" t="str">
        <f>IF(B144="","",IF(LEFT(_xll.BDP($B144,AO$9,"fill=b"),1)="#","-",_xll.BDP($B144,AO$9,"fill=b")))</f>
        <v/>
      </c>
      <c r="AP144" s="150" t="str">
        <f>IF(B144="","",_xll.BDP($B144,AP$9,"fill=b"))</f>
        <v/>
      </c>
      <c r="AQ144" s="150" t="str">
        <f>IF(B144="","",_xll.BDP($B144,AQ$9,"fill=b"))</f>
        <v/>
      </c>
      <c r="AR144" s="150" t="str">
        <f>IF(B144="","",_xll.BDP($B144,AR$9,"fill=b"))</f>
        <v/>
      </c>
      <c r="AS144" s="150" t="str">
        <f>IF(B144="","",_xll.BDP($B144,AS$9,"fill=b"))</f>
        <v/>
      </c>
      <c r="AT144" s="150" t="str">
        <f>IF(B144="","",_xll.BDP($B144,AT$9,"fill=b"))</f>
        <v/>
      </c>
      <c r="AU144" s="258" t="str">
        <f>IF(B144="","",_xll.BDP($B144,AU$9,"fill=b"))</f>
        <v/>
      </c>
    </row>
    <row r="145" spans="2:47" ht="15" x14ac:dyDescent="0.25">
      <c r="B145" s="232"/>
      <c r="C145" s="150" t="str">
        <f>IF(B145="","",_xll.BDP($B145,C$9,"fill=b"))</f>
        <v/>
      </c>
      <c r="D145" s="150" t="str">
        <f>IF(B145="","",_xll.BDP($B145,D$9,"fill=b"))</f>
        <v/>
      </c>
      <c r="E145" s="150" t="str">
        <f>IF(B145="","",_xll.BDP($B145,E$9,"fill=b"))</f>
        <v/>
      </c>
      <c r="F145" s="150" t="str">
        <f>IF(B145="","",IF(LEFT(_xll.BDP($B145,F$9,"fill=b"),1)="#","-",_xll.BDP($B145,F$9,"fill=b")))</f>
        <v/>
      </c>
      <c r="G145" s="150" t="str">
        <f>IF(B145="","",_xll.BDP($B145,G$9,"fill=b"))</f>
        <v/>
      </c>
      <c r="H145" s="150" t="str">
        <f>IF(B145="","",_xll.BDP($B145,H$9,"fill=b"))</f>
        <v/>
      </c>
      <c r="I145" s="150" t="str" cm="1">
        <f t="array" ref="I145">IF(LEFT(_xlfn.SINGLE(_xll.BDP(B145,"REFERENCE_INDEX")),1)="#",IF(LEFT(_xlfn.SINGLE(_xll.BDP(B145, "RESET_IDX"))&amp;" Index",1)="#","",_xlfn.SINGLE(_xll.BDP(B145, "RESET_IDX"))&amp;" Index"),_xll.BDP(B145,"REFERENCE_INDEX"))</f>
        <v/>
      </c>
      <c r="J145" s="150" t="str">
        <f>IF(I145="BZDIOVRA Index",IF(_xll.BDP(B145,"FLT_SPREAD")/100=0,_xll.BDP(B145,"FLT_BENCH_MULTIPLIER"),_xll.BDP(B145,"FLT_SPREAD")/100),"")</f>
        <v/>
      </c>
      <c r="K145" s="150" t="str">
        <f>IF(B145="","",IF(LEFT(_xll.BDP($B145,K$9,"fill=b"),1)="#","-",_xll.BDP($B145,K$9,"fill=b")))</f>
        <v/>
      </c>
      <c r="L145" s="233"/>
      <c r="M145" s="234" t="str">
        <f t="shared" si="44"/>
        <v/>
      </c>
      <c r="N145" s="252" t="str">
        <f>IF(B145="","",IF(R145="",IF(OR(AD145="SINKABLE",AD145="CALL/SINK"),_xll.BDP(B145,$N$9,$M$9,M145,"PRICING SOURCE",$C$6,"FILL=B"),_xll.BDP(B145,$N$9,$M$9,M145,"PRICING SOURCE",$C$6,"FILL=B")),IF(OR(AD145="SINKABLE",AD145="CALL/SINK"),_xll.BDP(B145,$N$9,$Q$10,S145,$M$9,M145,"PRICING SOURCE",$C$6,"FILL=B"),_xll.BDP(B145,$N$9,$Q$9,S145,$M$9,M145,"PRICING SOURCE",$C$6,"FILL=B"))))</f>
        <v/>
      </c>
      <c r="O145" s="235"/>
      <c r="P145" s="236" t="str">
        <f>IF(O145="",N145,O145)</f>
        <v/>
      </c>
      <c r="Q145" s="166" t="str" cm="1">
        <f t="array" ref="Q145">IF(ISERROR((_xlfn.SINGLE(IF(OR(AD145="SINKABLE",AD145="CALL/SINK"),_xll.BDP($B145,$Q$10,"fill=b","PRICING_SOURCE",$C$6,$AC145,$N$9,$P145,$M$9,$M145),_xll.BDP($B145,Q$9,"fill=b","PRICING_SOURCE",$C$6,$AC145,$N$9,$P145,$M$9,$M145))))*1),"",IF(OR(AD145="SINKABLE",AD145="CALL/SINK"),_xll.BDP($B145,$Q$10,"fill=b","PRICING_SOURCE",$C$6,$AC145,$N$9,$P145,$M$9,$M145),_xll.BDP($B145,Q$9,"fill=b","PRICING_SOURCE",$C$6,$AC145,$N$9,$P145,$M$9,$M145)))</f>
        <v/>
      </c>
      <c r="R145" s="237"/>
      <c r="S145" s="238" t="str">
        <f>IF(R145="",Q145,R145)</f>
        <v/>
      </c>
      <c r="T145" s="239" t="str" cm="1">
        <f t="array" ref="T145">IF(ISERROR((_xlfn.SINGLE(IF(OR(AD145="SINKABLE",AD145="CALL/SINK"),_xll.BDP($B145,$Q$10,"fill=b","PRICING_SOURCE",$C$6,$AC145,$M$9,$U145,"px ask",$AE145),_xll.BDP($B145,Q$9,"fill=b","PRICING_SOURCE",$C$6,$AC145,$M$9,$U145,"px ask",$AE145))))*1),"",IF(OR(AD145="SINKABLE",AD145="CALL/SINK"),_xll.BDP($B145,$Q$10,"fill=b","PRICING_SOURCE",$C$6,$AC145,$M$9,$U145,"px ask",$AE145),_xll.BDP($B145,Q$9,"fill=b","PRICING_SOURCE",$C$6,$AC145,$M$9,$U145,"px ask",$AE145)))</f>
        <v/>
      </c>
      <c r="U145" s="240" t="str">
        <f t="shared" si="41"/>
        <v/>
      </c>
      <c r="V145" s="254" t="str">
        <f>IF(B145="","",IF(I145="BZDIOVRA Index",IF(OR(AD145="SINKABLE",AD145="CALL/SINK"),_xll.BDP($B145,"PX_ASK",$Q$10,J145,$M$9,M145),_xll.BDP($B145,"PX_"&amp;$H$7,$Q$9,J145,$M$9,M145)),_xll.BDP($B145,"PX_"&amp;$H$7,$Q$9,_xll.BDP(B145,"CPN"),$M$9,M145)))</f>
        <v/>
      </c>
      <c r="W145" s="254" t="str">
        <f t="shared" si="42"/>
        <v/>
      </c>
      <c r="X145" s="166" t="str">
        <f>IF(B145="","",IF(OR(AD145="SINKABLE",AD145="CALL/SINK"),_xll.BDP($B145,X$9,"fill=b","PRICING_SOURCE",$C$6,$AC145,$M$9,$M145,$N$9,$P145,$Q$10,$S145),_xll.BDP($B145,X$9,"fill=b","PRICING_SOURCE",$C$6,$AC145,$M$9,$M145,$N$9,$P145,$Q$9,$S145)))</f>
        <v/>
      </c>
      <c r="Y145" s="166" t="str">
        <f>IF(B145="","",IF(OR(AD145="SINKABLE",AD145="CALL/SINK"),_xll.BDP($B145,Y$9,"fill=b","PRICING_SOURCE",$C$6,$AC145,$M$9,$M145,$N$9,$P145,$Q$10,$S145),_xll.BDP($B145,Y$9,"fill=b","PRICING_SOURCE",$C$6,$AC145,$M$9,$M145,$N$9,$P145,$Q$9,$S145)))</f>
        <v/>
      </c>
      <c r="Z145" s="255" t="str">
        <f>IF(B145="","",IF(OR(AD145="SINKABLE",AD145="CALL/SINK"),_xll.BDP($B145,Z$9,"fill=b","PRICING_SOURCE",$C$6,$AC145,$M$9,$M145,$N$9,$P145,$Q$10,$S145),_xll.BDP($B145,Z$9,"fill=b","PRICING_SOURCE",$C$6,$AC145,$M$9,$M145,$N$9,$P145,$Q$9,$S145)))</f>
        <v/>
      </c>
      <c r="AA145" s="166" t="str">
        <f>IF(B145="","",IF(OR(AD145="SINKABLE",AD145="CALL/SINK"),_xll.BDP($B145,AA$9,"fill=b","PRICING_SOURCE",$C$6,$AC145,$M$9,$M145,$N$9,$P145,$Q$10,$S145),_xll.BDP($B145,AA$9,"fill=b","PRICING_SOURCE",$C$6,$AC145,$M$9,$M145,$N$9,$P145,$Q$9,$S145)))</f>
        <v/>
      </c>
      <c r="AB145" s="150" t="str">
        <f>IF(B145="","",IF(LEFT(_xll.BDP($B145,AB$9,"fill=b"),1)="#","-",_xll.BDP($B145,AB$9,"fill=b")))</f>
        <v/>
      </c>
      <c r="AC145" s="150" t="str">
        <f>IF(OR(AD145="SINKABLE",AD145="CALL/SINK"),"YLD FLAG=28",IF(OR(AD145="AT MATURITY",AD145="CALLABLE"),"YLD FLAG=1","YLD FLAG=2"))</f>
        <v>YLD FLAG=2</v>
      </c>
      <c r="AD145" s="150" t="str">
        <f>IF(B145="","",_xll.BDP($B145,AD$9,"fill=b"))</f>
        <v/>
      </c>
      <c r="AE145" s="256" t="str">
        <f>IF(B145="","",IF(ISERROR(_xll.BDH(B145,"PX LAST",AN145,AN145,"DAYS=ALL","PRICING SOURCE",$C$6)*1),_xll.BDP(B145,"PAR AMT"),_xll.BDH(B145,"PX LAST",AN145,AN145,"DAYS=ALL","PRICING SOURCE",$C$6)))</f>
        <v/>
      </c>
      <c r="AF145" s="150" t="str">
        <f>IF(B145="","",_xll.BDP($B145,AF$9,"fill=b"))</f>
        <v/>
      </c>
      <c r="AG145" s="150"/>
      <c r="AH145" s="190" t="str">
        <f>IF(B145="","",IF($AD145="AT MATURITY",$AB145*1,_xll.BADDPERIODS(_xll.BDP($B145,"issue dt"),"numberofperiods",TRUNC(_xll.BDP($B145,"YRS_TO_LONGEST_AVG_LIFE","YLD_YTM_BID",AF145,"SETTLE_DT",U145,AC145),0),"per=y")+(ROUND(MOD(_xll.BDP(B145,"YRS_TO_LONGEST_AVG_LIFE","YLD_YTM_BID",AF145,"SETTLE_DT",U145,AC145),1)*360,0))))</f>
        <v/>
      </c>
      <c r="AI145" s="150" t="str">
        <f t="array" ref="AI145">IF(B145="","",AF145-_xll.BInterpol(_xll.BDP(_xll.BDS("YCGT0372 Index","curve members","CURVE_DATE", $U145,"endcol=1","array=true"),"maturity")*1,_xll.BDH(_xll.BDS("YCGT0372 Index","curve members","CURVE_DATE", $U145,"endcol=1","array=true"),"yld cnv mid",$U145,$U145,"days=all"),AH145,"CUBIC","Extrapolate=LINEAR","SKIP=TRUE","SORT=TRUE","MultiX=Average"))</f>
        <v/>
      </c>
      <c r="AJ145" s="189" t="str">
        <f t="shared" si="43"/>
        <v/>
      </c>
      <c r="AK145" s="257" t="str">
        <f>IF(B145="","",_xll.BDP($B145,AK$9,"fill=b"))</f>
        <v/>
      </c>
      <c r="AL145" s="257" t="str">
        <f>IF(B145="","",_xll.BDP($B145,AL$9,"fill=b"))</f>
        <v/>
      </c>
      <c r="AM145" s="256" t="str">
        <f>IF(B145="","",_xll.BDP($B145,AM$9,"fill=b"))</f>
        <v/>
      </c>
      <c r="AN145" s="150" t="str">
        <f>IF(B145="","",_xll.BDP($B145,AN$9,"fill=b"))</f>
        <v/>
      </c>
      <c r="AO145" s="150" t="str">
        <f>IF(B145="","",IF(LEFT(_xll.BDP($B145,AO$9,"fill=b"),1)="#","-",_xll.BDP($B145,AO$9,"fill=b")))</f>
        <v/>
      </c>
      <c r="AP145" s="150" t="str">
        <f>IF(B145="","",_xll.BDP($B145,AP$9,"fill=b"))</f>
        <v/>
      </c>
      <c r="AQ145" s="150" t="str">
        <f>IF(B145="","",_xll.BDP($B145,AQ$9,"fill=b"))</f>
        <v/>
      </c>
      <c r="AR145" s="150" t="str">
        <f>IF(B145="","",_xll.BDP($B145,AR$9,"fill=b"))</f>
        <v/>
      </c>
      <c r="AS145" s="150" t="str">
        <f>IF(B145="","",_xll.BDP($B145,AS$9,"fill=b"))</f>
        <v/>
      </c>
      <c r="AT145" s="150" t="str">
        <f>IF(B145="","",_xll.BDP($B145,AT$9,"fill=b"))</f>
        <v/>
      </c>
      <c r="AU145" s="258" t="str">
        <f>IF(B145="","",_xll.BDP($B145,AU$9,"fill=b"))</f>
        <v/>
      </c>
    </row>
    <row r="146" spans="2:47" ht="15" x14ac:dyDescent="0.25">
      <c r="B146" s="232"/>
      <c r="C146" s="150" t="str">
        <f>IF(B146="","",_xll.BDP($B146,C$9,"fill=b"))</f>
        <v/>
      </c>
      <c r="D146" s="150" t="str">
        <f>IF(B146="","",_xll.BDP($B146,D$9,"fill=b"))</f>
        <v/>
      </c>
      <c r="E146" s="150" t="str">
        <f>IF(B146="","",_xll.BDP($B146,E$9,"fill=b"))</f>
        <v/>
      </c>
      <c r="F146" s="150" t="str">
        <f>IF(B146="","",IF(LEFT(_xll.BDP($B146,F$9,"fill=b"),1)="#","-",_xll.BDP($B146,F$9,"fill=b")))</f>
        <v/>
      </c>
      <c r="G146" s="150" t="str">
        <f>IF(B146="","",_xll.BDP($B146,G$9,"fill=b"))</f>
        <v/>
      </c>
      <c r="H146" s="150" t="str">
        <f>IF(B146="","",_xll.BDP($B146,H$9,"fill=b"))</f>
        <v/>
      </c>
      <c r="I146" s="150" t="str" cm="1">
        <f t="array" ref="I146">IF(LEFT(_xlfn.SINGLE(_xll.BDP(B146,"REFERENCE_INDEX")),1)="#",IF(LEFT(_xlfn.SINGLE(_xll.BDP(B146, "RESET_IDX"))&amp;" Index",1)="#","",_xlfn.SINGLE(_xll.BDP(B146, "RESET_IDX"))&amp;" Index"),_xll.BDP(B146,"REFERENCE_INDEX"))</f>
        <v/>
      </c>
      <c r="J146" s="150" t="str">
        <f>IF(I146="BZDIOVRA Index",IF(_xll.BDP(B146,"FLT_SPREAD")/100=0,_xll.BDP(B146,"FLT_BENCH_MULTIPLIER"),_xll.BDP(B146,"FLT_SPREAD")/100),"")</f>
        <v/>
      </c>
      <c r="K146" s="150" t="str">
        <f>IF(B146="","",IF(LEFT(_xll.BDP($B146,K$9,"fill=b"),1)="#","-",_xll.BDP($B146,K$9,"fill=b")))</f>
        <v/>
      </c>
      <c r="L146" s="233"/>
      <c r="M146" s="234" t="str">
        <f t="shared" si="44"/>
        <v/>
      </c>
      <c r="N146" s="252" t="str">
        <f>IF(B146="","",IF(R146="",IF(OR(AD146="SINKABLE",AD146="CALL/SINK"),_xll.BDP(B146,$N$9,$M$9,M146,"PRICING SOURCE",$C$6,"FILL=B"),_xll.BDP(B146,$N$9,$M$9,M146,"PRICING SOURCE",$C$6,"FILL=B")),IF(OR(AD146="SINKABLE",AD146="CALL/SINK"),_xll.BDP(B146,$N$9,$Q$10,S146,$M$9,M146,"PRICING SOURCE",$C$6,"FILL=B"),_xll.BDP(B146,$N$9,$Q$9,S146,$M$9,M146,"PRICING SOURCE",$C$6,"FILL=B"))))</f>
        <v/>
      </c>
      <c r="O146" s="235"/>
      <c r="P146" s="236" t="str">
        <f t="shared" ref="P146:P157" si="45">IF(O146="",N146,O146)</f>
        <v/>
      </c>
      <c r="Q146" s="166" t="str" cm="1">
        <f t="array" ref="Q146">IF(ISERROR((_xlfn.SINGLE(IF(OR(AD146="SINKABLE",AD146="CALL/SINK"),_xll.BDP($B146,$Q$10,"fill=b","PRICING_SOURCE",$C$6,$AC146,$N$9,$P146,$M$9,$M146),_xll.BDP($B146,Q$9,"fill=b","PRICING_SOURCE",$C$6,$AC146,$N$9,$P146,$M$9,$M146))))*1),"",IF(OR(AD146="SINKABLE",AD146="CALL/SINK"),_xll.BDP($B146,$Q$10,"fill=b","PRICING_SOURCE",$C$6,$AC146,$N$9,$P146,$M$9,$M146),_xll.BDP($B146,Q$9,"fill=b","PRICING_SOURCE",$C$6,$AC146,$N$9,$P146,$M$9,$M146)))</f>
        <v/>
      </c>
      <c r="R146" s="237"/>
      <c r="S146" s="238" t="str">
        <f t="shared" ref="S146:S157" si="46">IF(R146="",Q146,R146)</f>
        <v/>
      </c>
      <c r="T146" s="239" t="str" cm="1">
        <f t="array" ref="T146">IF(ISERROR((_xlfn.SINGLE(IF(OR(AD146="SINKABLE",AD146="CALL/SINK"),_xll.BDP($B146,$Q$10,"fill=b","PRICING_SOURCE",$C$6,$AC146,$M$9,$U146,"px ask",$AE146),_xll.BDP($B146,Q$9,"fill=b","PRICING_SOURCE",$C$6,$AC146,$M$9,$U146,"px ask",$AE146))))*1),"",IF(OR(AD146="SINKABLE",AD146="CALL/SINK"),_xll.BDP($B146,$Q$10,"fill=b","PRICING_SOURCE",$C$6,$AC146,$M$9,$U146,"px ask",$AE146),_xll.BDP($B146,Q$9,"fill=b","PRICING_SOURCE",$C$6,$AC146,$M$9,$U146,"px ask",$AE146)))</f>
        <v/>
      </c>
      <c r="U146" s="240" t="str">
        <f t="shared" si="41"/>
        <v/>
      </c>
      <c r="V146" s="254" t="str">
        <f>IF(B146="","",IF(I146="BZDIOVRA Index",IF(OR(AD146="SINKABLE",AD146="CALL/SINK"),_xll.BDP($B146,"PX_ASK",$Q$10,J146,$M$9,M146),_xll.BDP($B146,"PX_"&amp;$H$7,$Q$9,J146,$M$9,M146)),_xll.BDP($B146,"PX_"&amp;$H$7,$Q$9,_xll.BDP(B146,"CPN"),$M$9,M146)))</f>
        <v/>
      </c>
      <c r="W146" s="254" t="str">
        <f t="shared" si="42"/>
        <v/>
      </c>
      <c r="X146" s="166" t="str">
        <f>IF(B146="","",IF(OR(AD146="SINKABLE",AD146="CALL/SINK"),_xll.BDP($B146,X$9,"fill=b","PRICING_SOURCE",$C$6,$AC146,$M$9,$M146,$N$9,$P146,$Q$10,$S146),_xll.BDP($B146,X$9,"fill=b","PRICING_SOURCE",$C$6,$AC146,$M$9,$M146,$N$9,$P146,$Q$9,$S146)))</f>
        <v/>
      </c>
      <c r="Y146" s="166" t="str">
        <f>IF(B146="","",IF(OR(AD146="SINKABLE",AD146="CALL/SINK"),_xll.BDP($B146,Y$9,"fill=b","PRICING_SOURCE",$C$6,$AC146,$M$9,$M146,$N$9,$P146,$Q$10,$S146),_xll.BDP($B146,Y$9,"fill=b","PRICING_SOURCE",$C$6,$AC146,$M$9,$M146,$N$9,$P146,$Q$9,$S146)))</f>
        <v/>
      </c>
      <c r="Z146" s="255" t="str">
        <f>IF(B146="","",IF(OR(AD146="SINKABLE",AD146="CALL/SINK"),_xll.BDP($B146,Z$9,"fill=b","PRICING_SOURCE",$C$6,$AC146,$M$9,$M146,$N$9,$P146,$Q$10,$S146),_xll.BDP($B146,Z$9,"fill=b","PRICING_SOURCE",$C$6,$AC146,$M$9,$M146,$N$9,$P146,$Q$9,$S146)))</f>
        <v/>
      </c>
      <c r="AA146" s="166" t="str">
        <f>IF(B146="","",IF(OR(AD146="SINKABLE",AD146="CALL/SINK"),_xll.BDP($B146,AA$9,"fill=b","PRICING_SOURCE",$C$6,$AC146,$M$9,$M146,$N$9,$P146,$Q$10,$S146),_xll.BDP($B146,AA$9,"fill=b","PRICING_SOURCE",$C$6,$AC146,$M$9,$M146,$N$9,$P146,$Q$9,$S146)))</f>
        <v/>
      </c>
      <c r="AB146" s="150" t="str">
        <f>IF(B146="","",IF(LEFT(_xll.BDP($B146,AB$9,"fill=b"),1)="#","-",_xll.BDP($B146,AB$9,"fill=b")))</f>
        <v/>
      </c>
      <c r="AC146" s="150" t="str">
        <f t="shared" ref="AC146:AC157" si="47">IF(OR(AD146="SINKABLE",AD146="CALL/SINK"),"YLD FLAG=28",IF(OR(AD146="AT MATURITY",AD146="CALLABLE"),"YLD FLAG=1","YLD FLAG=2"))</f>
        <v>YLD FLAG=2</v>
      </c>
      <c r="AD146" s="150" t="str">
        <f>IF(B146="","",_xll.BDP($B146,AD$9,"fill=b"))</f>
        <v/>
      </c>
      <c r="AE146" s="256" t="str">
        <f>IF(B146="","",IF(ISERROR(_xll.BDH(B146,"PX LAST",AN146,AN146,"DAYS=ALL","PRICING SOURCE",$C$6)*1),_xll.BDP(B146,"PAR AMT"),_xll.BDH(B146,"PX LAST",AN146,AN146,"DAYS=ALL","PRICING SOURCE",$C$6)))</f>
        <v/>
      </c>
      <c r="AF146" s="150" t="str">
        <f>IF(B146="","",_xll.BDP($B146,AF$9,"fill=b"))</f>
        <v/>
      </c>
      <c r="AG146" s="150"/>
      <c r="AH146" s="190" t="str">
        <f>IF(B146="","",IF($AD146="AT MATURITY",$AB146*1,_xll.BADDPERIODS(_xll.BDP($B146,"issue dt"),"numberofperiods",TRUNC(_xll.BDP($B146,"YRS_TO_LONGEST_AVG_LIFE","YLD_YTM_BID",AF146,"SETTLE_DT",U146,AC146),0),"per=y")+(ROUND(MOD(_xll.BDP(B146,"YRS_TO_LONGEST_AVG_LIFE","YLD_YTM_BID",AF146,"SETTLE_DT",U146,AC146),1)*360,0))))</f>
        <v/>
      </c>
      <c r="AI146" s="150" t="str">
        <f t="array" ref="AI146">IF(B146="","",AF146-_xll.BInterpol(_xll.BDP(_xll.BDS("YCGT0372 Index","curve members","CURVE_DATE", $U146,"endcol=1","array=true"),"maturity")*1,_xll.BDH(_xll.BDS("YCGT0372 Index","curve members","CURVE_DATE", $U146,"endcol=1","array=true"),"yld cnv mid",$U146,$U146,"days=all"),AH146,"CUBIC","Extrapolate=LINEAR","SKIP=TRUE","SORT=TRUE","MultiX=Average"))</f>
        <v/>
      </c>
      <c r="AJ146" s="189" t="str">
        <f t="shared" si="43"/>
        <v/>
      </c>
      <c r="AK146" s="257" t="str">
        <f>IF(B146="","",_xll.BDP($B146,AK$9,"fill=b"))</f>
        <v/>
      </c>
      <c r="AL146" s="257" t="str">
        <f>IF(B146="","",_xll.BDP($B146,AL$9,"fill=b"))</f>
        <v/>
      </c>
      <c r="AM146" s="256" t="str">
        <f>IF(B146="","",_xll.BDP($B146,AM$9,"fill=b"))</f>
        <v/>
      </c>
      <c r="AN146" s="150" t="str">
        <f>IF(B146="","",_xll.BDP($B146,AN$9,"fill=b"))</f>
        <v/>
      </c>
      <c r="AO146" s="150" t="str">
        <f>IF(B146="","",IF(LEFT(_xll.BDP($B146,AO$9,"fill=b"),1)="#","-",_xll.BDP($B146,AO$9,"fill=b")))</f>
        <v/>
      </c>
      <c r="AP146" s="150" t="str">
        <f>IF(B146="","",_xll.BDP($B146,AP$9,"fill=b"))</f>
        <v/>
      </c>
      <c r="AQ146" s="150" t="str">
        <f>IF(B146="","",_xll.BDP($B146,AQ$9,"fill=b"))</f>
        <v/>
      </c>
      <c r="AR146" s="150" t="str">
        <f>IF(B146="","",_xll.BDP($B146,AR$9,"fill=b"))</f>
        <v/>
      </c>
      <c r="AS146" s="150" t="str">
        <f>IF(B146="","",_xll.BDP($B146,AS$9,"fill=b"))</f>
        <v/>
      </c>
      <c r="AT146" s="150" t="str">
        <f>IF(B146="","",_xll.BDP($B146,AT$9,"fill=b"))</f>
        <v/>
      </c>
      <c r="AU146" s="258" t="str">
        <f>IF(B146="","",_xll.BDP($B146,AU$9,"fill=b"))</f>
        <v/>
      </c>
    </row>
    <row r="147" spans="2:47" ht="15" x14ac:dyDescent="0.25">
      <c r="B147" s="232"/>
      <c r="C147" s="150" t="str">
        <f>IF(B147="","",_xll.BDP($B147,C$9,"fill=b"))</f>
        <v/>
      </c>
      <c r="D147" s="150" t="str">
        <f>IF(B147="","",_xll.BDP($B147,D$9,"fill=b"))</f>
        <v/>
      </c>
      <c r="E147" s="150" t="str">
        <f>IF(B147="","",_xll.BDP($B147,E$9,"fill=b"))</f>
        <v/>
      </c>
      <c r="F147" s="150" t="str">
        <f>IF(B147="","",IF(LEFT(_xll.BDP($B147,F$9,"fill=b"),1)="#","-",_xll.BDP($B147,F$9,"fill=b")))</f>
        <v/>
      </c>
      <c r="G147" s="150" t="str">
        <f>IF(B147="","",_xll.BDP($B147,G$9,"fill=b"))</f>
        <v/>
      </c>
      <c r="H147" s="150" t="str">
        <f>IF(B147="","",_xll.BDP($B147,H$9,"fill=b"))</f>
        <v/>
      </c>
      <c r="I147" s="150" t="str" cm="1">
        <f t="array" ref="I147">IF(LEFT(_xlfn.SINGLE(_xll.BDP(B147,"REFERENCE_INDEX")),1)="#",IF(LEFT(_xlfn.SINGLE(_xll.BDP(B147, "RESET_IDX"))&amp;" Index",1)="#","",_xlfn.SINGLE(_xll.BDP(B147, "RESET_IDX"))&amp;" Index"),_xll.BDP(B147,"REFERENCE_INDEX"))</f>
        <v/>
      </c>
      <c r="J147" s="150" t="str">
        <f>IF(I147="BZDIOVRA Index",IF(_xll.BDP(B147,"FLT_SPREAD")/100=0,_xll.BDP(B147,"FLT_BENCH_MULTIPLIER"),_xll.BDP(B147,"FLT_SPREAD")/100),"")</f>
        <v/>
      </c>
      <c r="K147" s="150" t="str">
        <f>IF(B147="","",IF(LEFT(_xll.BDP($B147,K$9,"fill=b"),1)="#","-",_xll.BDP($B147,K$9,"fill=b")))</f>
        <v/>
      </c>
      <c r="L147" s="233"/>
      <c r="M147" s="234" t="str">
        <f t="shared" si="44"/>
        <v/>
      </c>
      <c r="N147" s="252" t="str">
        <f>IF(B147="","",IF(R147="",IF(OR(AD147="SINKABLE",AD147="CALL/SINK"),_xll.BDP(B147,$N$9,$M$9,M147,"PRICING SOURCE",$C$6,"FILL=B"),_xll.BDP(B147,$N$9,$M$9,M147,"PRICING SOURCE",$C$6,"FILL=B")),IF(OR(AD147="SINKABLE",AD147="CALL/SINK"),_xll.BDP(B147,$N$9,$Q$10,S147,$M$9,M147,"PRICING SOURCE",$C$6,"FILL=B"),_xll.BDP(B147,$N$9,$Q$9,S147,$M$9,M147,"PRICING SOURCE",$C$6,"FILL=B"))))</f>
        <v/>
      </c>
      <c r="O147" s="235"/>
      <c r="P147" s="236" t="str">
        <f t="shared" si="45"/>
        <v/>
      </c>
      <c r="Q147" s="166" t="str" cm="1">
        <f t="array" ref="Q147">IF(ISERROR((_xlfn.SINGLE(IF(OR(AD147="SINKABLE",AD147="CALL/SINK"),_xll.BDP($B147,$Q$10,"fill=b","PRICING_SOURCE",$C$6,$AC147,$N$9,$P147,$M$9,$M147),_xll.BDP($B147,Q$9,"fill=b","PRICING_SOURCE",$C$6,$AC147,$N$9,$P147,$M$9,$M147))))*1),"",IF(OR(AD147="SINKABLE",AD147="CALL/SINK"),_xll.BDP($B147,$Q$10,"fill=b","PRICING_SOURCE",$C$6,$AC147,$N$9,$P147,$M$9,$M147),_xll.BDP($B147,Q$9,"fill=b","PRICING_SOURCE",$C$6,$AC147,$N$9,$P147,$M$9,$M147)))</f>
        <v/>
      </c>
      <c r="R147" s="237"/>
      <c r="S147" s="238" t="str">
        <f t="shared" si="46"/>
        <v/>
      </c>
      <c r="T147" s="239" t="str" cm="1">
        <f t="array" ref="T147">IF(ISERROR((_xlfn.SINGLE(IF(OR(AD147="SINKABLE",AD147="CALL/SINK"),_xll.BDP($B147,$Q$10,"fill=b","PRICING_SOURCE",$C$6,$AC147,$M$9,$U147,"px ask",$AE147),_xll.BDP($B147,Q$9,"fill=b","PRICING_SOURCE",$C$6,$AC147,$M$9,$U147,"px ask",$AE147))))*1),"",IF(OR(AD147="SINKABLE",AD147="CALL/SINK"),_xll.BDP($B147,$Q$10,"fill=b","PRICING_SOURCE",$C$6,$AC147,$M$9,$U147,"px ask",$AE147),_xll.BDP($B147,Q$9,"fill=b","PRICING_SOURCE",$C$6,$AC147,$M$9,$U147,"px ask",$AE147)))</f>
        <v/>
      </c>
      <c r="U147" s="240" t="str">
        <f t="shared" si="41"/>
        <v/>
      </c>
      <c r="V147" s="254" t="str">
        <f>IF(B147="","",IF(I147="BZDIOVRA Index",IF(OR(AD147="SINKABLE",AD147="CALL/SINK"),_xll.BDP($B147,"PX_ASK",$Q$10,J147,$M$9,M147),_xll.BDP($B147,"PX_"&amp;$H$7,$Q$9,J147,$M$9,M147)),_xll.BDP($B147,"PX_"&amp;$H$7,$Q$9,_xll.BDP(B147,"CPN"),$M$9,M147)))</f>
        <v/>
      </c>
      <c r="W147" s="254" t="str">
        <f t="shared" si="42"/>
        <v/>
      </c>
      <c r="X147" s="166" t="str">
        <f>IF(B147="","",IF(OR(AD147="SINKABLE",AD147="CALL/SINK"),_xll.BDP($B147,X$9,"fill=b","PRICING_SOURCE",$C$6,$AC147,$M$9,$M147,$N$9,$P147,$Q$10,$S147),_xll.BDP($B147,X$9,"fill=b","PRICING_SOURCE",$C$6,$AC147,$M$9,$M147,$N$9,$P147,$Q$9,$S147)))</f>
        <v/>
      </c>
      <c r="Y147" s="166" t="str">
        <f>IF(B147="","",IF(OR(AD147="SINKABLE",AD147="CALL/SINK"),_xll.BDP($B147,Y$9,"fill=b","PRICING_SOURCE",$C$6,$AC147,$M$9,$M147,$N$9,$P147,$Q$10,$S147),_xll.BDP($B147,Y$9,"fill=b","PRICING_SOURCE",$C$6,$AC147,$M$9,$M147,$N$9,$P147,$Q$9,$S147)))</f>
        <v/>
      </c>
      <c r="Z147" s="255" t="str">
        <f>IF(B147="","",IF(OR(AD147="SINKABLE",AD147="CALL/SINK"),_xll.BDP($B147,Z$9,"fill=b","PRICING_SOURCE",$C$6,$AC147,$M$9,$M147,$N$9,$P147,$Q$10,$S147),_xll.BDP($B147,Z$9,"fill=b","PRICING_SOURCE",$C$6,$AC147,$M$9,$M147,$N$9,$P147,$Q$9,$S147)))</f>
        <v/>
      </c>
      <c r="AA147" s="166" t="str">
        <f>IF(B147="","",IF(OR(AD147="SINKABLE",AD147="CALL/SINK"),_xll.BDP($B147,AA$9,"fill=b","PRICING_SOURCE",$C$6,$AC147,$M$9,$M147,$N$9,$P147,$Q$10,$S147),_xll.BDP($B147,AA$9,"fill=b","PRICING_SOURCE",$C$6,$AC147,$M$9,$M147,$N$9,$P147,$Q$9,$S147)))</f>
        <v/>
      </c>
      <c r="AB147" s="150" t="str">
        <f>IF(B147="","",IF(LEFT(_xll.BDP($B147,AB$9,"fill=b"),1)="#","-",_xll.BDP($B147,AB$9,"fill=b")))</f>
        <v/>
      </c>
      <c r="AC147" s="150" t="str">
        <f t="shared" si="47"/>
        <v>YLD FLAG=2</v>
      </c>
      <c r="AD147" s="150" t="str">
        <f>IF(B147="","",_xll.BDP($B147,AD$9,"fill=b"))</f>
        <v/>
      </c>
      <c r="AE147" s="256" t="str">
        <f>IF(B147="","",IF(ISERROR(_xll.BDH(B147,"PX LAST",AN147,AN147,"DAYS=ALL","PRICING SOURCE",$C$6)*1),_xll.BDP(B147,"PAR AMT"),_xll.BDH(B147,"PX LAST",AN147,AN147,"DAYS=ALL","PRICING SOURCE",$C$6)))</f>
        <v/>
      </c>
      <c r="AF147" s="150" t="str">
        <f>IF(B147="","",_xll.BDP($B147,AF$9,"fill=b"))</f>
        <v/>
      </c>
      <c r="AG147" s="150"/>
      <c r="AH147" s="190" t="str">
        <f>IF(B147="","",IF($AD147="AT MATURITY",$AB147*1,_xll.BADDPERIODS(_xll.BDP($B147,"issue dt"),"numberofperiods",TRUNC(_xll.BDP($B147,"YRS_TO_LONGEST_AVG_LIFE","YLD_YTM_BID",AF147,"SETTLE_DT",U147,AC147),0),"per=y")+(ROUND(MOD(_xll.BDP(B147,"YRS_TO_LONGEST_AVG_LIFE","YLD_YTM_BID",AF147,"SETTLE_DT",U147,AC147),1)*360,0))))</f>
        <v/>
      </c>
      <c r="AI147" s="150" t="str">
        <f t="array" ref="AI147">IF(B147="","",AF147-_xll.BInterpol(_xll.BDP(_xll.BDS("YCGT0372 Index","curve members","CURVE_DATE", $U147,"endcol=1","array=true"),"maturity")*1,_xll.BDH(_xll.BDS("YCGT0372 Index","curve members","CURVE_DATE", $U147,"endcol=1","array=true"),"yld cnv mid",$U147,$U147,"days=all"),AH147,"CUBIC","Extrapolate=LINEAR","SKIP=TRUE","SORT=TRUE","MultiX=Average"))</f>
        <v/>
      </c>
      <c r="AJ147" s="189" t="str">
        <f t="shared" si="43"/>
        <v/>
      </c>
      <c r="AK147" s="257" t="str">
        <f>IF(B147="","",_xll.BDP($B147,AK$9,"fill=b"))</f>
        <v/>
      </c>
      <c r="AL147" s="257" t="str">
        <f>IF(B147="","",_xll.BDP($B147,AL$9,"fill=b"))</f>
        <v/>
      </c>
      <c r="AM147" s="256" t="str">
        <f>IF(B147="","",_xll.BDP($B147,AM$9,"fill=b"))</f>
        <v/>
      </c>
      <c r="AN147" s="150" t="str">
        <f>IF(B147="","",_xll.BDP($B147,AN$9,"fill=b"))</f>
        <v/>
      </c>
      <c r="AO147" s="150" t="str">
        <f>IF(B147="","",IF(LEFT(_xll.BDP($B147,AO$9,"fill=b"),1)="#","-",_xll.BDP($B147,AO$9,"fill=b")))</f>
        <v/>
      </c>
      <c r="AP147" s="150" t="str">
        <f>IF(B147="","",_xll.BDP($B147,AP$9,"fill=b"))</f>
        <v/>
      </c>
      <c r="AQ147" s="150" t="str">
        <f>IF(B147="","",_xll.BDP($B147,AQ$9,"fill=b"))</f>
        <v/>
      </c>
      <c r="AR147" s="150" t="str">
        <f>IF(B147="","",_xll.BDP($B147,AR$9,"fill=b"))</f>
        <v/>
      </c>
      <c r="AS147" s="150" t="str">
        <f>IF(B147="","",_xll.BDP($B147,AS$9,"fill=b"))</f>
        <v/>
      </c>
      <c r="AT147" s="150" t="str">
        <f>IF(B147="","",_xll.BDP($B147,AT$9,"fill=b"))</f>
        <v/>
      </c>
      <c r="AU147" s="258" t="str">
        <f>IF(B147="","",_xll.BDP($B147,AU$9,"fill=b"))</f>
        <v/>
      </c>
    </row>
    <row r="148" spans="2:47" ht="15" x14ac:dyDescent="0.25">
      <c r="B148" s="232"/>
      <c r="C148" s="150" t="str">
        <f>IF(B148="","",_xll.BDP($B148,C$9,"fill=b"))</f>
        <v/>
      </c>
      <c r="D148" s="150" t="str">
        <f>IF(B148="","",_xll.BDP($B148,D$9,"fill=b"))</f>
        <v/>
      </c>
      <c r="E148" s="150" t="str">
        <f>IF(B148="","",_xll.BDP($B148,E$9,"fill=b"))</f>
        <v/>
      </c>
      <c r="F148" s="150" t="str">
        <f>IF(B148="","",IF(LEFT(_xll.BDP($B148,F$9,"fill=b"),1)="#","-",_xll.BDP($B148,F$9,"fill=b")))</f>
        <v/>
      </c>
      <c r="G148" s="150" t="str">
        <f>IF(B148="","",_xll.BDP($B148,G$9,"fill=b"))</f>
        <v/>
      </c>
      <c r="H148" s="150" t="str">
        <f>IF(B148="","",_xll.BDP($B148,H$9,"fill=b"))</f>
        <v/>
      </c>
      <c r="I148" s="150" t="str" cm="1">
        <f t="array" ref="I148">IF(LEFT(_xlfn.SINGLE(_xll.BDP(B148,"REFERENCE_INDEX")),1)="#",IF(LEFT(_xlfn.SINGLE(_xll.BDP(B148, "RESET_IDX"))&amp;" Index",1)="#","",_xlfn.SINGLE(_xll.BDP(B148, "RESET_IDX"))&amp;" Index"),_xll.BDP(B148,"REFERENCE_INDEX"))</f>
        <v/>
      </c>
      <c r="J148" s="150" t="str">
        <f>IF(I148="BZDIOVRA Index",IF(_xll.BDP(B148,"FLT_SPREAD")/100=0,_xll.BDP(B148,"FLT_BENCH_MULTIPLIER"),_xll.BDP(B148,"FLT_SPREAD")/100),"")</f>
        <v/>
      </c>
      <c r="K148" s="150" t="str">
        <f>IF(B148="","",IF(LEFT(_xll.BDP($B148,K$9,"fill=b"),1)="#","-",_xll.BDP($B148,K$9,"fill=b")))</f>
        <v/>
      </c>
      <c r="L148" s="233"/>
      <c r="M148" s="234" t="str">
        <f t="shared" si="44"/>
        <v/>
      </c>
      <c r="N148" s="252" t="str">
        <f>IF(B148="","",IF(R148="",IF(OR(AD148="SINKABLE",AD148="CALL/SINK"),_xll.BDP(B148,$N$9,$M$9,M148,"PRICING SOURCE",$C$6,"FILL=B"),_xll.BDP(B148,$N$9,$M$9,M148,"PRICING SOURCE",$C$6,"FILL=B")),IF(OR(AD148="SINKABLE",AD148="CALL/SINK"),_xll.BDP(B148,$N$9,$Q$10,S148,$M$9,M148,"PRICING SOURCE",$C$6,"FILL=B"),_xll.BDP(B148,$N$9,$Q$9,S148,$M$9,M148,"PRICING SOURCE",$C$6,"FILL=B"))))</f>
        <v/>
      </c>
      <c r="O148" s="235"/>
      <c r="P148" s="236" t="str">
        <f t="shared" si="45"/>
        <v/>
      </c>
      <c r="Q148" s="166" t="str" cm="1">
        <f t="array" ref="Q148">IF(ISERROR((_xlfn.SINGLE(IF(OR(AD148="SINKABLE",AD148="CALL/SINK"),_xll.BDP($B148,$Q$10,"fill=b","PRICING_SOURCE",$C$6,$AC148,$N$9,$P148,$M$9,$M148),_xll.BDP($B148,Q$9,"fill=b","PRICING_SOURCE",$C$6,$AC148,$N$9,$P148,$M$9,$M148))))*1),"",IF(OR(AD148="SINKABLE",AD148="CALL/SINK"),_xll.BDP($B148,$Q$10,"fill=b","PRICING_SOURCE",$C$6,$AC148,$N$9,$P148,$M$9,$M148),_xll.BDP($B148,Q$9,"fill=b","PRICING_SOURCE",$C$6,$AC148,$N$9,$P148,$M$9,$M148)))</f>
        <v/>
      </c>
      <c r="R148" s="237"/>
      <c r="S148" s="238" t="str">
        <f t="shared" si="46"/>
        <v/>
      </c>
      <c r="T148" s="239" t="str" cm="1">
        <f t="array" ref="T148">IF(ISERROR((_xlfn.SINGLE(IF(OR(AD148="SINKABLE",AD148="CALL/SINK"),_xll.BDP($B148,$Q$10,"fill=b","PRICING_SOURCE",$C$6,$AC148,$M$9,$U148,"px ask",$AE148),_xll.BDP($B148,Q$9,"fill=b","PRICING_SOURCE",$C$6,$AC148,$M$9,$U148,"px ask",$AE148))))*1),"",IF(OR(AD148="SINKABLE",AD148="CALL/SINK"),_xll.BDP($B148,$Q$10,"fill=b","PRICING_SOURCE",$C$6,$AC148,$M$9,$U148,"px ask",$AE148),_xll.BDP($B148,Q$9,"fill=b","PRICING_SOURCE",$C$6,$AC148,$M$9,$U148,"px ask",$AE148)))</f>
        <v/>
      </c>
      <c r="U148" s="240" t="str">
        <f t="shared" si="41"/>
        <v/>
      </c>
      <c r="V148" s="254" t="str">
        <f>IF(B148="","",IF(I148="BZDIOVRA Index",IF(OR(AD148="SINKABLE",AD148="CALL/SINK"),_xll.BDP($B148,"PX_ASK",$Q$10,J148,$M$9,M148),_xll.BDP($B148,"PX_"&amp;$H$7,$Q$9,J148,$M$9,M148)),_xll.BDP($B148,"PX_"&amp;$H$7,$Q$9,_xll.BDP(B148,"CPN"),$M$9,M148)))</f>
        <v/>
      </c>
      <c r="W148" s="254" t="str">
        <f t="shared" si="42"/>
        <v/>
      </c>
      <c r="X148" s="166" t="str">
        <f>IF(B148="","",IF(OR(AD148="SINKABLE",AD148="CALL/SINK"),_xll.BDP($B148,X$9,"fill=b","PRICING_SOURCE",$C$6,$AC148,$M$9,$M148,$N$9,$P148,$Q$10,$S148),_xll.BDP($B148,X$9,"fill=b","PRICING_SOURCE",$C$6,$AC148,$M$9,$M148,$N$9,$P148,$Q$9,$S148)))</f>
        <v/>
      </c>
      <c r="Y148" s="166" t="str">
        <f>IF(B148="","",IF(OR(AD148="SINKABLE",AD148="CALL/SINK"),_xll.BDP($B148,Y$9,"fill=b","PRICING_SOURCE",$C$6,$AC148,$M$9,$M148,$N$9,$P148,$Q$10,$S148),_xll.BDP($B148,Y$9,"fill=b","PRICING_SOURCE",$C$6,$AC148,$M$9,$M148,$N$9,$P148,$Q$9,$S148)))</f>
        <v/>
      </c>
      <c r="Z148" s="255" t="str">
        <f>IF(B148="","",IF(OR(AD148="SINKABLE",AD148="CALL/SINK"),_xll.BDP($B148,Z$9,"fill=b","PRICING_SOURCE",$C$6,$AC148,$M$9,$M148,$N$9,$P148,$Q$10,$S148),_xll.BDP($B148,Z$9,"fill=b","PRICING_SOURCE",$C$6,$AC148,$M$9,$M148,$N$9,$P148,$Q$9,$S148)))</f>
        <v/>
      </c>
      <c r="AA148" s="166" t="str">
        <f>IF(B148="","",IF(OR(AD148="SINKABLE",AD148="CALL/SINK"),_xll.BDP($B148,AA$9,"fill=b","PRICING_SOURCE",$C$6,$AC148,$M$9,$M148,$N$9,$P148,$Q$10,$S148),_xll.BDP($B148,AA$9,"fill=b","PRICING_SOURCE",$C$6,$AC148,$M$9,$M148,$N$9,$P148,$Q$9,$S148)))</f>
        <v/>
      </c>
      <c r="AB148" s="150" t="str">
        <f>IF(B148="","",IF(LEFT(_xll.BDP($B148,AB$9,"fill=b"),1)="#","-",_xll.BDP($B148,AB$9,"fill=b")))</f>
        <v/>
      </c>
      <c r="AC148" s="150" t="str">
        <f t="shared" si="47"/>
        <v>YLD FLAG=2</v>
      </c>
      <c r="AD148" s="150" t="str">
        <f>IF(B148="","",_xll.BDP($B148,AD$9,"fill=b"))</f>
        <v/>
      </c>
      <c r="AE148" s="256" t="str">
        <f>IF(B148="","",IF(ISERROR(_xll.BDH(B148,"PX LAST",AN148,AN148,"DAYS=ALL","PRICING SOURCE",$C$6)*1),_xll.BDP(B148,"PAR AMT"),_xll.BDH(B148,"PX LAST",AN148,AN148,"DAYS=ALL","PRICING SOURCE",$C$6)))</f>
        <v/>
      </c>
      <c r="AF148" s="150" t="str">
        <f>IF(B148="","",_xll.BDP($B148,AF$9,"fill=b"))</f>
        <v/>
      </c>
      <c r="AG148" s="150"/>
      <c r="AH148" s="190" t="str">
        <f>IF(B148="","",IF($AD148="AT MATURITY",$AB148*1,_xll.BADDPERIODS(_xll.BDP($B148,"issue dt"),"numberofperiods",TRUNC(_xll.BDP($B148,"YRS_TO_LONGEST_AVG_LIFE","YLD_YTM_BID",AF148,"SETTLE_DT",U148,AC148),0),"per=y")+(ROUND(MOD(_xll.BDP(B148,"YRS_TO_LONGEST_AVG_LIFE","YLD_YTM_BID",AF148,"SETTLE_DT",U148,AC148),1)*360,0))))</f>
        <v/>
      </c>
      <c r="AI148" s="150" t="str">
        <f t="array" ref="AI148">IF(B148="","",AF148-_xll.BInterpol(_xll.BDP(_xll.BDS("YCGT0372 Index","curve members","CURVE_DATE", $U148,"endcol=1","array=true"),"maturity")*1,_xll.BDH(_xll.BDS("YCGT0372 Index","curve members","CURVE_DATE", $U148,"endcol=1","array=true"),"yld cnv mid",$U148,$U148,"days=all"),AH148,"CUBIC","Extrapolate=LINEAR","SKIP=TRUE","SORT=TRUE","MultiX=Average"))</f>
        <v/>
      </c>
      <c r="AJ148" s="189" t="str">
        <f t="shared" si="43"/>
        <v/>
      </c>
      <c r="AK148" s="257" t="str">
        <f>IF(B148="","",_xll.BDP($B148,AK$9,"fill=b"))</f>
        <v/>
      </c>
      <c r="AL148" s="257" t="str">
        <f>IF(B148="","",_xll.BDP($B148,AL$9,"fill=b"))</f>
        <v/>
      </c>
      <c r="AM148" s="256" t="str">
        <f>IF(B148="","",_xll.BDP($B148,AM$9,"fill=b"))</f>
        <v/>
      </c>
      <c r="AN148" s="150" t="str">
        <f>IF(B148="","",_xll.BDP($B148,AN$9,"fill=b"))</f>
        <v/>
      </c>
      <c r="AO148" s="150" t="str">
        <f>IF(B148="","",IF(LEFT(_xll.BDP($B148,AO$9,"fill=b"),1)="#","-",_xll.BDP($B148,AO$9,"fill=b")))</f>
        <v/>
      </c>
      <c r="AP148" s="150" t="str">
        <f>IF(B148="","",_xll.BDP($B148,AP$9,"fill=b"))</f>
        <v/>
      </c>
      <c r="AQ148" s="150" t="str">
        <f>IF(B148="","",_xll.BDP($B148,AQ$9,"fill=b"))</f>
        <v/>
      </c>
      <c r="AR148" s="150" t="str">
        <f>IF(B148="","",_xll.BDP($B148,AR$9,"fill=b"))</f>
        <v/>
      </c>
      <c r="AS148" s="150" t="str">
        <f>IF(B148="","",_xll.BDP($B148,AS$9,"fill=b"))</f>
        <v/>
      </c>
      <c r="AT148" s="150" t="str">
        <f>IF(B148="","",_xll.BDP($B148,AT$9,"fill=b"))</f>
        <v/>
      </c>
      <c r="AU148" s="258" t="str">
        <f>IF(B148="","",_xll.BDP($B148,AU$9,"fill=b"))</f>
        <v/>
      </c>
    </row>
    <row r="149" spans="2:47" ht="15" x14ac:dyDescent="0.25">
      <c r="B149" s="232"/>
      <c r="C149" s="150" t="str">
        <f>IF(B149="","",_xll.BDP($B149,C$9,"fill=b"))</f>
        <v/>
      </c>
      <c r="D149" s="150" t="str">
        <f>IF(B149="","",_xll.BDP($B149,D$9,"fill=b"))</f>
        <v/>
      </c>
      <c r="E149" s="150" t="str">
        <f>IF(B149="","",_xll.BDP($B149,E$9,"fill=b"))</f>
        <v/>
      </c>
      <c r="F149" s="150" t="str">
        <f>IF(B149="","",IF(LEFT(_xll.BDP($B149,F$9,"fill=b"),1)="#","-",_xll.BDP($B149,F$9,"fill=b")))</f>
        <v/>
      </c>
      <c r="G149" s="150" t="str">
        <f>IF(B149="","",_xll.BDP($B149,G$9,"fill=b"))</f>
        <v/>
      </c>
      <c r="H149" s="150" t="str">
        <f>IF(B149="","",_xll.BDP($B149,H$9,"fill=b"))</f>
        <v/>
      </c>
      <c r="I149" s="150" t="str" cm="1">
        <f t="array" ref="I149">IF(LEFT(_xlfn.SINGLE(_xll.BDP(B149,"REFERENCE_INDEX")),1)="#",IF(LEFT(_xlfn.SINGLE(_xll.BDP(B149, "RESET_IDX"))&amp;" Index",1)="#","",_xlfn.SINGLE(_xll.BDP(B149, "RESET_IDX"))&amp;" Index"),_xll.BDP(B149,"REFERENCE_INDEX"))</f>
        <v/>
      </c>
      <c r="J149" s="150" t="str">
        <f>IF(I149="BZDIOVRA Index",IF(_xll.BDP(B149,"FLT_SPREAD")/100=0,_xll.BDP(B149,"FLT_BENCH_MULTIPLIER"),_xll.BDP(B149,"FLT_SPREAD")/100),"")</f>
        <v/>
      </c>
      <c r="K149" s="150" t="str">
        <f>IF(B149="","",IF(LEFT(_xll.BDP($B149,K$9,"fill=b"),1)="#","-",_xll.BDP($B149,K$9,"fill=b")))</f>
        <v/>
      </c>
      <c r="L149" s="233"/>
      <c r="M149" s="234" t="str">
        <f t="shared" si="44"/>
        <v/>
      </c>
      <c r="N149" s="252" t="str">
        <f>IF(B149="","",IF(R149="",IF(OR(AD149="SINKABLE",AD149="CALL/SINK"),_xll.BDP(B149,$N$9,$M$9,M149,"PRICING SOURCE",$C$6,"FILL=B"),_xll.BDP(B149,$N$9,$M$9,M149,"PRICING SOURCE",$C$6,"FILL=B")),IF(OR(AD149="SINKABLE",AD149="CALL/SINK"),_xll.BDP(B149,$N$9,$Q$10,S149,$M$9,M149,"PRICING SOURCE",$C$6,"FILL=B"),_xll.BDP(B149,$N$9,$Q$9,S149,$M$9,M149,"PRICING SOURCE",$C$6,"FILL=B"))))</f>
        <v/>
      </c>
      <c r="O149" s="235"/>
      <c r="P149" s="236" t="str">
        <f t="shared" si="45"/>
        <v/>
      </c>
      <c r="Q149" s="166" t="str" cm="1">
        <f t="array" ref="Q149">IF(ISERROR((_xlfn.SINGLE(IF(OR(AD149="SINKABLE",AD149="CALL/SINK"),_xll.BDP($B149,$Q$10,"fill=b","PRICING_SOURCE",$C$6,$AC149,$N$9,$P149,$M$9,$M149),_xll.BDP($B149,Q$9,"fill=b","PRICING_SOURCE",$C$6,$AC149,$N$9,$P149,$M$9,$M149))))*1),"",IF(OR(AD149="SINKABLE",AD149="CALL/SINK"),_xll.BDP($B149,$Q$10,"fill=b","PRICING_SOURCE",$C$6,$AC149,$N$9,$P149,$M$9,$M149),_xll.BDP($B149,Q$9,"fill=b","PRICING_SOURCE",$C$6,$AC149,$N$9,$P149,$M$9,$M149)))</f>
        <v/>
      </c>
      <c r="R149" s="237"/>
      <c r="S149" s="238" t="str">
        <f t="shared" si="46"/>
        <v/>
      </c>
      <c r="T149" s="239" t="str" cm="1">
        <f t="array" ref="T149">IF(ISERROR((_xlfn.SINGLE(IF(OR(AD149="SINKABLE",AD149="CALL/SINK"),_xll.BDP($B149,$Q$10,"fill=b","PRICING_SOURCE",$C$6,$AC149,$M$9,$U149,"px ask",$AE149),_xll.BDP($B149,Q$9,"fill=b","PRICING_SOURCE",$C$6,$AC149,$M$9,$U149,"px ask",$AE149))))*1),"",IF(OR(AD149="SINKABLE",AD149="CALL/SINK"),_xll.BDP($B149,$Q$10,"fill=b","PRICING_SOURCE",$C$6,$AC149,$M$9,$U149,"px ask",$AE149),_xll.BDP($B149,Q$9,"fill=b","PRICING_SOURCE",$C$6,$AC149,$M$9,$U149,"px ask",$AE149)))</f>
        <v/>
      </c>
      <c r="U149" s="240" t="str">
        <f t="shared" si="41"/>
        <v/>
      </c>
      <c r="V149" s="254" t="str">
        <f>IF(B149="","",IF(I149="BZDIOVRA Index",IF(OR(AD149="SINKABLE",AD149="CALL/SINK"),_xll.BDP($B149,"PX_ASK",$Q$10,J149,$M$9,M149),_xll.BDP($B149,"PX_"&amp;$H$7,$Q$9,J149,$M$9,M149)),_xll.BDP($B149,"PX_"&amp;$H$7,$Q$9,_xll.BDP(B149,"CPN"),$M$9,M149)))</f>
        <v/>
      </c>
      <c r="W149" s="254" t="str">
        <f t="shared" si="42"/>
        <v/>
      </c>
      <c r="X149" s="166" t="str">
        <f>IF(B149="","",IF(OR(AD149="SINKABLE",AD149="CALL/SINK"),_xll.BDP($B149,X$9,"fill=b","PRICING_SOURCE",$C$6,$AC149,$M$9,$M149,$N$9,$P149,$Q$10,$S149),_xll.BDP($B149,X$9,"fill=b","PRICING_SOURCE",$C$6,$AC149,$M$9,$M149,$N$9,$P149,$Q$9,$S149)))</f>
        <v/>
      </c>
      <c r="Y149" s="166" t="str">
        <f>IF(B149="","",IF(OR(AD149="SINKABLE",AD149="CALL/SINK"),_xll.BDP($B149,Y$9,"fill=b","PRICING_SOURCE",$C$6,$AC149,$M$9,$M149,$N$9,$P149,$Q$10,$S149),_xll.BDP($B149,Y$9,"fill=b","PRICING_SOURCE",$C$6,$AC149,$M$9,$M149,$N$9,$P149,$Q$9,$S149)))</f>
        <v/>
      </c>
      <c r="Z149" s="255" t="str">
        <f>IF(B149="","",IF(OR(AD149="SINKABLE",AD149="CALL/SINK"),_xll.BDP($B149,Z$9,"fill=b","PRICING_SOURCE",$C$6,$AC149,$M$9,$M149,$N$9,$P149,$Q$10,$S149),_xll.BDP($B149,Z$9,"fill=b","PRICING_SOURCE",$C$6,$AC149,$M$9,$M149,$N$9,$P149,$Q$9,$S149)))</f>
        <v/>
      </c>
      <c r="AA149" s="166" t="str">
        <f>IF(B149="","",IF(OR(AD149="SINKABLE",AD149="CALL/SINK"),_xll.BDP($B149,AA$9,"fill=b","PRICING_SOURCE",$C$6,$AC149,$M$9,$M149,$N$9,$P149,$Q$10,$S149),_xll.BDP($B149,AA$9,"fill=b","PRICING_SOURCE",$C$6,$AC149,$M$9,$M149,$N$9,$P149,$Q$9,$S149)))</f>
        <v/>
      </c>
      <c r="AB149" s="150" t="str">
        <f>IF(B149="","",IF(LEFT(_xll.BDP($B149,AB$9,"fill=b"),1)="#","-",_xll.BDP($B149,AB$9,"fill=b")))</f>
        <v/>
      </c>
      <c r="AC149" s="150" t="str">
        <f t="shared" si="47"/>
        <v>YLD FLAG=2</v>
      </c>
      <c r="AD149" s="150" t="str">
        <f>IF(B149="","",_xll.BDP($B149,AD$9,"fill=b"))</f>
        <v/>
      </c>
      <c r="AE149" s="256" t="str">
        <f>IF(B149="","",IF(ISERROR(_xll.BDH(B149,"PX LAST",AN149,AN149,"DAYS=ALL","PRICING SOURCE",$C$6)*1),_xll.BDP(B149,"PAR AMT"),_xll.BDH(B149,"PX LAST",AN149,AN149,"DAYS=ALL","PRICING SOURCE",$C$6)))</f>
        <v/>
      </c>
      <c r="AF149" s="150" t="str">
        <f>IF(B149="","",_xll.BDP($B149,AF$9,"fill=b"))</f>
        <v/>
      </c>
      <c r="AG149" s="150"/>
      <c r="AH149" s="190" t="str">
        <f>IF(B149="","",IF($AD149="AT MATURITY",$AB149*1,_xll.BADDPERIODS(_xll.BDP($B149,"issue dt"),"numberofperiods",TRUNC(_xll.BDP($B149,"YRS_TO_LONGEST_AVG_LIFE","YLD_YTM_BID",AF149,"SETTLE_DT",U149,AC149),0),"per=y")+(ROUND(MOD(_xll.BDP(B149,"YRS_TO_LONGEST_AVG_LIFE","YLD_YTM_BID",AF149,"SETTLE_DT",U149,AC149),1)*360,0))))</f>
        <v/>
      </c>
      <c r="AI149" s="150" t="str">
        <f t="array" ref="AI149">IF(B149="","",AF149-_xll.BInterpol(_xll.BDP(_xll.BDS("YCGT0372 Index","curve members","CURVE_DATE", $U149,"endcol=1","array=true"),"maturity")*1,_xll.BDH(_xll.BDS("YCGT0372 Index","curve members","CURVE_DATE", $U149,"endcol=1","array=true"),"yld cnv mid",$U149,$U149,"days=all"),AH149,"CUBIC","Extrapolate=LINEAR","SKIP=TRUE","SORT=TRUE","MultiX=Average"))</f>
        <v/>
      </c>
      <c r="AJ149" s="189" t="str">
        <f t="shared" si="43"/>
        <v/>
      </c>
      <c r="AK149" s="257" t="str">
        <f>IF(B149="","",_xll.BDP($B149,AK$9,"fill=b"))</f>
        <v/>
      </c>
      <c r="AL149" s="257" t="str">
        <f>IF(B149="","",_xll.BDP($B149,AL$9,"fill=b"))</f>
        <v/>
      </c>
      <c r="AM149" s="256" t="str">
        <f>IF(B149="","",_xll.BDP($B149,AM$9,"fill=b"))</f>
        <v/>
      </c>
      <c r="AN149" s="150" t="str">
        <f>IF(B149="","",_xll.BDP($B149,AN$9,"fill=b"))</f>
        <v/>
      </c>
      <c r="AO149" s="150" t="str">
        <f>IF(B149="","",IF(LEFT(_xll.BDP($B149,AO$9,"fill=b"),1)="#","-",_xll.BDP($B149,AO$9,"fill=b")))</f>
        <v/>
      </c>
      <c r="AP149" s="150" t="str">
        <f>IF(B149="","",_xll.BDP($B149,AP$9,"fill=b"))</f>
        <v/>
      </c>
      <c r="AQ149" s="150" t="str">
        <f>IF(B149="","",_xll.BDP($B149,AQ$9,"fill=b"))</f>
        <v/>
      </c>
      <c r="AR149" s="150" t="str">
        <f>IF(B149="","",_xll.BDP($B149,AR$9,"fill=b"))</f>
        <v/>
      </c>
      <c r="AS149" s="150" t="str">
        <f>IF(B149="","",_xll.BDP($B149,AS$9,"fill=b"))</f>
        <v/>
      </c>
      <c r="AT149" s="150" t="str">
        <f>IF(B149="","",_xll.BDP($B149,AT$9,"fill=b"))</f>
        <v/>
      </c>
      <c r="AU149" s="258" t="str">
        <f>IF(B149="","",_xll.BDP($B149,AU$9,"fill=b"))</f>
        <v/>
      </c>
    </row>
    <row r="150" spans="2:47" ht="15" x14ac:dyDescent="0.25">
      <c r="B150" s="232"/>
      <c r="C150" s="150" t="str">
        <f>IF(B150="","",_xll.BDP($B150,C$9,"fill=b"))</f>
        <v/>
      </c>
      <c r="D150" s="150" t="str">
        <f>IF(B150="","",_xll.BDP($B150,D$9,"fill=b"))</f>
        <v/>
      </c>
      <c r="E150" s="150" t="str">
        <f>IF(B150="","",_xll.BDP($B150,E$9,"fill=b"))</f>
        <v/>
      </c>
      <c r="F150" s="150" t="str">
        <f>IF(B150="","",IF(LEFT(_xll.BDP($B150,F$9,"fill=b"),1)="#","-",_xll.BDP($B150,F$9,"fill=b")))</f>
        <v/>
      </c>
      <c r="G150" s="150" t="str">
        <f>IF(B150="","",_xll.BDP($B150,G$9,"fill=b"))</f>
        <v/>
      </c>
      <c r="H150" s="150" t="str">
        <f>IF(B150="","",_xll.BDP($B150,H$9,"fill=b"))</f>
        <v/>
      </c>
      <c r="I150" s="150" t="str" cm="1">
        <f t="array" ref="I150">IF(LEFT(_xlfn.SINGLE(_xll.BDP(B150,"REFERENCE_INDEX")),1)="#",IF(LEFT(_xlfn.SINGLE(_xll.BDP(B150, "RESET_IDX"))&amp;" Index",1)="#","",_xlfn.SINGLE(_xll.BDP(B150, "RESET_IDX"))&amp;" Index"),_xll.BDP(B150,"REFERENCE_INDEX"))</f>
        <v/>
      </c>
      <c r="J150" s="150" t="str">
        <f>IF(I150="BZDIOVRA Index",IF(_xll.BDP(B150,"FLT_SPREAD")/100=0,_xll.BDP(B150,"FLT_BENCH_MULTIPLIER"),_xll.BDP(B150,"FLT_SPREAD")/100),"")</f>
        <v/>
      </c>
      <c r="K150" s="150" t="str">
        <f>IF(B150="","",IF(LEFT(_xll.BDP($B150,K$9,"fill=b"),1)="#","-",_xll.BDP($B150,K$9,"fill=b")))</f>
        <v/>
      </c>
      <c r="L150" s="233"/>
      <c r="M150" s="234" t="str">
        <f t="shared" si="44"/>
        <v/>
      </c>
      <c r="N150" s="252" t="str">
        <f>IF(B150="","",IF(R150="",IF(OR(AD150="SINKABLE",AD150="CALL/SINK"),_xll.BDP(B150,$N$9,$M$9,M150,"PRICING SOURCE",$C$6,"FILL=B"),_xll.BDP(B150,$N$9,$M$9,M150,"PRICING SOURCE",$C$6,"FILL=B")),IF(OR(AD150="SINKABLE",AD150="CALL/SINK"),_xll.BDP(B150,$N$9,$Q$10,S150,$M$9,M150,"PRICING SOURCE",$C$6,"FILL=B"),_xll.BDP(B150,$N$9,$Q$9,S150,$M$9,M150,"PRICING SOURCE",$C$6,"FILL=B"))))</f>
        <v/>
      </c>
      <c r="O150" s="235"/>
      <c r="P150" s="236" t="str">
        <f t="shared" si="45"/>
        <v/>
      </c>
      <c r="Q150" s="166" t="str" cm="1">
        <f t="array" ref="Q150">IF(ISERROR((_xlfn.SINGLE(IF(OR(AD150="SINKABLE",AD150="CALL/SINK"),_xll.BDP($B150,$Q$10,"fill=b","PRICING_SOURCE",$C$6,$AC150,$N$9,$P150,$M$9,$M150),_xll.BDP($B150,Q$9,"fill=b","PRICING_SOURCE",$C$6,$AC150,$N$9,$P150,$M$9,$M150))))*1),"",IF(OR(AD150="SINKABLE",AD150="CALL/SINK"),_xll.BDP($B150,$Q$10,"fill=b","PRICING_SOURCE",$C$6,$AC150,$N$9,$P150,$M$9,$M150),_xll.BDP($B150,Q$9,"fill=b","PRICING_SOURCE",$C$6,$AC150,$N$9,$P150,$M$9,$M150)))</f>
        <v/>
      </c>
      <c r="R150" s="237"/>
      <c r="S150" s="238" t="str">
        <f t="shared" si="46"/>
        <v/>
      </c>
      <c r="T150" s="239" t="str" cm="1">
        <f t="array" ref="T150">IF(ISERROR((_xlfn.SINGLE(IF(OR(AD150="SINKABLE",AD150="CALL/SINK"),_xll.BDP($B150,$Q$10,"fill=b","PRICING_SOURCE",$C$6,$AC150,$M$9,$U150,"px ask",$AE150),_xll.BDP($B150,Q$9,"fill=b","PRICING_SOURCE",$C$6,$AC150,$M$9,$U150,"px ask",$AE150))))*1),"",IF(OR(AD150="SINKABLE",AD150="CALL/SINK"),_xll.BDP($B150,$Q$10,"fill=b","PRICING_SOURCE",$C$6,$AC150,$M$9,$U150,"px ask",$AE150),_xll.BDP($B150,Q$9,"fill=b","PRICING_SOURCE",$C$6,$AC150,$M$9,$U150,"px ask",$AE150)))</f>
        <v/>
      </c>
      <c r="U150" s="240" t="str">
        <f t="shared" si="41"/>
        <v/>
      </c>
      <c r="V150" s="254" t="str">
        <f>IF(B150="","",IF(I150="BZDIOVRA Index",IF(OR(AD150="SINKABLE",AD150="CALL/SINK"),_xll.BDP($B150,"PX_ASK",$Q$10,J150,$M$9,M150),_xll.BDP($B150,"PX_"&amp;$H$7,$Q$9,J150,$M$9,M150)),_xll.BDP($B150,"PX_"&amp;$H$7,$Q$9,_xll.BDP(B150,"CPN"),$M$9,M150)))</f>
        <v/>
      </c>
      <c r="W150" s="254" t="str">
        <f t="shared" si="42"/>
        <v/>
      </c>
      <c r="X150" s="166" t="str">
        <f>IF(B150="","",IF(OR(AD150="SINKABLE",AD150="CALL/SINK"),_xll.BDP($B150,X$9,"fill=b","PRICING_SOURCE",$C$6,$AC150,$M$9,$M150,$N$9,$P150,$Q$10,$S150),_xll.BDP($B150,X$9,"fill=b","PRICING_SOURCE",$C$6,$AC150,$M$9,$M150,$N$9,$P150,$Q$9,$S150)))</f>
        <v/>
      </c>
      <c r="Y150" s="166" t="str">
        <f>IF(B150="","",IF(OR(AD150="SINKABLE",AD150="CALL/SINK"),_xll.BDP($B150,Y$9,"fill=b","PRICING_SOURCE",$C$6,$AC150,$M$9,$M150,$N$9,$P150,$Q$10,$S150),_xll.BDP($B150,Y$9,"fill=b","PRICING_SOURCE",$C$6,$AC150,$M$9,$M150,$N$9,$P150,$Q$9,$S150)))</f>
        <v/>
      </c>
      <c r="Z150" s="255" t="str">
        <f>IF(B150="","",IF(OR(AD150="SINKABLE",AD150="CALL/SINK"),_xll.BDP($B150,Z$9,"fill=b","PRICING_SOURCE",$C$6,$AC150,$M$9,$M150,$N$9,$P150,$Q$10,$S150),_xll.BDP($B150,Z$9,"fill=b","PRICING_SOURCE",$C$6,$AC150,$M$9,$M150,$N$9,$P150,$Q$9,$S150)))</f>
        <v/>
      </c>
      <c r="AA150" s="166" t="str">
        <f>IF(B150="","",IF(OR(AD150="SINKABLE",AD150="CALL/SINK"),_xll.BDP($B150,AA$9,"fill=b","PRICING_SOURCE",$C$6,$AC150,$M$9,$M150,$N$9,$P150,$Q$10,$S150),_xll.BDP($B150,AA$9,"fill=b","PRICING_SOURCE",$C$6,$AC150,$M$9,$M150,$N$9,$P150,$Q$9,$S150)))</f>
        <v/>
      </c>
      <c r="AB150" s="150" t="str">
        <f>IF(B150="","",IF(LEFT(_xll.BDP($B150,AB$9,"fill=b"),1)="#","-",_xll.BDP($B150,AB$9,"fill=b")))</f>
        <v/>
      </c>
      <c r="AC150" s="150" t="str">
        <f t="shared" si="47"/>
        <v>YLD FLAG=2</v>
      </c>
      <c r="AD150" s="150" t="str">
        <f>IF(B150="","",_xll.BDP($B150,AD$9,"fill=b"))</f>
        <v/>
      </c>
      <c r="AE150" s="256" t="str">
        <f>IF(B150="","",IF(ISERROR(_xll.BDH(B150,"PX LAST",AN150,AN150,"DAYS=ALL","PRICING SOURCE",$C$6)*1),_xll.BDP(B150,"PAR AMT"),_xll.BDH(B150,"PX LAST",AN150,AN150,"DAYS=ALL","PRICING SOURCE",$C$6)))</f>
        <v/>
      </c>
      <c r="AF150" s="150" t="str">
        <f>IF(B150="","",_xll.BDP($B150,AF$9,"fill=b"))</f>
        <v/>
      </c>
      <c r="AG150" s="150"/>
      <c r="AH150" s="190" t="str">
        <f>IF(B150="","",IF($AD150="AT MATURITY",$AB150*1,_xll.BADDPERIODS(_xll.BDP($B150,"issue dt"),"numberofperiods",TRUNC(_xll.BDP($B150,"YRS_TO_LONGEST_AVG_LIFE","YLD_YTM_BID",AF150,"SETTLE_DT",U150,AC150),0),"per=y")+(ROUND(MOD(_xll.BDP(B150,"YRS_TO_LONGEST_AVG_LIFE","YLD_YTM_BID",AF150,"SETTLE_DT",U150,AC150),1)*360,0))))</f>
        <v/>
      </c>
      <c r="AI150" s="150" t="str">
        <f t="array" ref="AI150">IF(B150="","",AF150-_xll.BInterpol(_xll.BDP(_xll.BDS("YCGT0372 Index","curve members","CURVE_DATE", $U150,"endcol=1","array=true"),"maturity")*1,_xll.BDH(_xll.BDS("YCGT0372 Index","curve members","CURVE_DATE", $U150,"endcol=1","array=true"),"yld cnv mid",$U150,$U150,"days=all"),AH150,"CUBIC","Extrapolate=LINEAR","SKIP=TRUE","SORT=TRUE","MultiX=Average"))</f>
        <v/>
      </c>
      <c r="AJ150" s="189" t="str">
        <f t="shared" si="43"/>
        <v/>
      </c>
      <c r="AK150" s="257" t="str">
        <f>IF(B150="","",_xll.BDP($B150,AK$9,"fill=b"))</f>
        <v/>
      </c>
      <c r="AL150" s="257" t="str">
        <f>IF(B150="","",_xll.BDP($B150,AL$9,"fill=b"))</f>
        <v/>
      </c>
      <c r="AM150" s="256" t="str">
        <f>IF(B150="","",_xll.BDP($B150,AM$9,"fill=b"))</f>
        <v/>
      </c>
      <c r="AN150" s="150" t="str">
        <f>IF(B150="","",_xll.BDP($B150,AN$9,"fill=b"))</f>
        <v/>
      </c>
      <c r="AO150" s="150" t="str">
        <f>IF(B150="","",IF(LEFT(_xll.BDP($B150,AO$9,"fill=b"),1)="#","-",_xll.BDP($B150,AO$9,"fill=b")))</f>
        <v/>
      </c>
      <c r="AP150" s="150" t="str">
        <f>IF(B150="","",_xll.BDP($B150,AP$9,"fill=b"))</f>
        <v/>
      </c>
      <c r="AQ150" s="150" t="str">
        <f>IF(B150="","",_xll.BDP($B150,AQ$9,"fill=b"))</f>
        <v/>
      </c>
      <c r="AR150" s="150" t="str">
        <f>IF(B150="","",_xll.BDP($B150,AR$9,"fill=b"))</f>
        <v/>
      </c>
      <c r="AS150" s="150" t="str">
        <f>IF(B150="","",_xll.BDP($B150,AS$9,"fill=b"))</f>
        <v/>
      </c>
      <c r="AT150" s="150" t="str">
        <f>IF(B150="","",_xll.BDP($B150,AT$9,"fill=b"))</f>
        <v/>
      </c>
      <c r="AU150" s="258" t="str">
        <f>IF(B150="","",_xll.BDP($B150,AU$9,"fill=b"))</f>
        <v/>
      </c>
    </row>
    <row r="151" spans="2:47" ht="15" x14ac:dyDescent="0.25">
      <c r="B151" s="232"/>
      <c r="C151" s="150" t="str">
        <f>IF(B151="","",_xll.BDP($B151,C$9,"fill=b"))</f>
        <v/>
      </c>
      <c r="D151" s="150" t="str">
        <f>IF(B151="","",_xll.BDP($B151,D$9,"fill=b"))</f>
        <v/>
      </c>
      <c r="E151" s="150" t="str">
        <f>IF(B151="","",_xll.BDP($B151,E$9,"fill=b"))</f>
        <v/>
      </c>
      <c r="F151" s="150" t="str">
        <f>IF(B151="","",IF(LEFT(_xll.BDP($B151,F$9,"fill=b"),1)="#","-",_xll.BDP($B151,F$9,"fill=b")))</f>
        <v/>
      </c>
      <c r="G151" s="150" t="str">
        <f>IF(B151="","",_xll.BDP($B151,G$9,"fill=b"))</f>
        <v/>
      </c>
      <c r="H151" s="150" t="str">
        <f>IF(B151="","",_xll.BDP($B151,H$9,"fill=b"))</f>
        <v/>
      </c>
      <c r="I151" s="150" t="str" cm="1">
        <f t="array" ref="I151">IF(LEFT(_xlfn.SINGLE(_xll.BDP(B151,"REFERENCE_INDEX")),1)="#",IF(LEFT(_xlfn.SINGLE(_xll.BDP(B151, "RESET_IDX"))&amp;" Index",1)="#","",_xlfn.SINGLE(_xll.BDP(B151, "RESET_IDX"))&amp;" Index"),_xll.BDP(B151,"REFERENCE_INDEX"))</f>
        <v/>
      </c>
      <c r="J151" s="150" t="str">
        <f>IF(I151="BZDIOVRA Index",IF(_xll.BDP(B151,"FLT_SPREAD")/100=0,_xll.BDP(B151,"FLT_BENCH_MULTIPLIER"),_xll.BDP(B151,"FLT_SPREAD")/100),"")</f>
        <v/>
      </c>
      <c r="K151" s="150" t="str">
        <f>IF(B151="","",IF(LEFT(_xll.BDP($B151,K$9,"fill=b"),1)="#","-",_xll.BDP($B151,K$9,"fill=b")))</f>
        <v/>
      </c>
      <c r="L151" s="233"/>
      <c r="M151" s="234" t="str">
        <f t="shared" si="44"/>
        <v/>
      </c>
      <c r="N151" s="252" t="str">
        <f>IF(B151="","",IF(R151="",IF(OR(AD151="SINKABLE",AD151="CALL/SINK"),_xll.BDP(B151,$N$9,$M$9,M151,"PRICING SOURCE",$C$6,"FILL=B"),_xll.BDP(B151,$N$9,$M$9,M151,"PRICING SOURCE",$C$6,"FILL=B")),IF(OR(AD151="SINKABLE",AD151="CALL/SINK"),_xll.BDP(B151,$N$9,$Q$10,S151,$M$9,M151,"PRICING SOURCE",$C$6,"FILL=B"),_xll.BDP(B151,$N$9,$Q$9,S151,$M$9,M151,"PRICING SOURCE",$C$6,"FILL=B"))))</f>
        <v/>
      </c>
      <c r="O151" s="235"/>
      <c r="P151" s="236" t="str">
        <f t="shared" si="45"/>
        <v/>
      </c>
      <c r="Q151" s="166" t="str" cm="1">
        <f t="array" ref="Q151">IF(ISERROR((_xlfn.SINGLE(IF(OR(AD151="SINKABLE",AD151="CALL/SINK"),_xll.BDP($B151,$Q$10,"fill=b","PRICING_SOURCE",$C$6,$AC151,$N$9,$P151,$M$9,$M151),_xll.BDP($B151,Q$9,"fill=b","PRICING_SOURCE",$C$6,$AC151,$N$9,$P151,$M$9,$M151))))*1),"",IF(OR(AD151="SINKABLE",AD151="CALL/SINK"),_xll.BDP($B151,$Q$10,"fill=b","PRICING_SOURCE",$C$6,$AC151,$N$9,$P151,$M$9,$M151),_xll.BDP($B151,Q$9,"fill=b","PRICING_SOURCE",$C$6,$AC151,$N$9,$P151,$M$9,$M151)))</f>
        <v/>
      </c>
      <c r="R151" s="237"/>
      <c r="S151" s="238" t="str">
        <f t="shared" si="46"/>
        <v/>
      </c>
      <c r="T151" s="239" t="str" cm="1">
        <f t="array" ref="T151">IF(ISERROR((_xlfn.SINGLE(IF(OR(AD151="SINKABLE",AD151="CALL/SINK"),_xll.BDP($B151,$Q$10,"fill=b","PRICING_SOURCE",$C$6,$AC151,$M$9,$U151,"px ask",$AE151),_xll.BDP($B151,Q$9,"fill=b","PRICING_SOURCE",$C$6,$AC151,$M$9,$U151,"px ask",$AE151))))*1),"",IF(OR(AD151="SINKABLE",AD151="CALL/SINK"),_xll.BDP($B151,$Q$10,"fill=b","PRICING_SOURCE",$C$6,$AC151,$M$9,$U151,"px ask",$AE151),_xll.BDP($B151,Q$9,"fill=b","PRICING_SOURCE",$C$6,$AC151,$M$9,$U151,"px ask",$AE151)))</f>
        <v/>
      </c>
      <c r="U151" s="240" t="str">
        <f t="shared" si="41"/>
        <v/>
      </c>
      <c r="V151" s="254" t="str">
        <f>IF(B151="","",IF(I151="BZDIOVRA Index",IF(OR(AD151="SINKABLE",AD151="CALL/SINK"),_xll.BDP($B151,"PX_ASK",$Q$10,J151,$M$9,M151),_xll.BDP($B151,"PX_"&amp;$H$7,$Q$9,J151,$M$9,M151)),_xll.BDP($B151,"PX_"&amp;$H$7,$Q$9,_xll.BDP(B151,"CPN"),$M$9,M151)))</f>
        <v/>
      </c>
      <c r="W151" s="254" t="str">
        <f t="shared" si="42"/>
        <v/>
      </c>
      <c r="X151" s="166" t="str">
        <f>IF(B151="","",IF(OR(AD151="SINKABLE",AD151="CALL/SINK"),_xll.BDP($B151,X$9,"fill=b","PRICING_SOURCE",$C$6,$AC151,$M$9,$M151,$N$9,$P151,$Q$10,$S151),_xll.BDP($B151,X$9,"fill=b","PRICING_SOURCE",$C$6,$AC151,$M$9,$M151,$N$9,$P151,$Q$9,$S151)))</f>
        <v/>
      </c>
      <c r="Y151" s="166" t="str">
        <f>IF(B151="","",IF(OR(AD151="SINKABLE",AD151="CALL/SINK"),_xll.BDP($B151,Y$9,"fill=b","PRICING_SOURCE",$C$6,$AC151,$M$9,$M151,$N$9,$P151,$Q$10,$S151),_xll.BDP($B151,Y$9,"fill=b","PRICING_SOURCE",$C$6,$AC151,$M$9,$M151,$N$9,$P151,$Q$9,$S151)))</f>
        <v/>
      </c>
      <c r="Z151" s="255" t="str">
        <f>IF(B151="","",IF(OR(AD151="SINKABLE",AD151="CALL/SINK"),_xll.BDP($B151,Z$9,"fill=b","PRICING_SOURCE",$C$6,$AC151,$M$9,$M151,$N$9,$P151,$Q$10,$S151),_xll.BDP($B151,Z$9,"fill=b","PRICING_SOURCE",$C$6,$AC151,$M$9,$M151,$N$9,$P151,$Q$9,$S151)))</f>
        <v/>
      </c>
      <c r="AA151" s="166" t="str">
        <f>IF(B151="","",IF(OR(AD151="SINKABLE",AD151="CALL/SINK"),_xll.BDP($B151,AA$9,"fill=b","PRICING_SOURCE",$C$6,$AC151,$M$9,$M151,$N$9,$P151,$Q$10,$S151),_xll.BDP($B151,AA$9,"fill=b","PRICING_SOURCE",$C$6,$AC151,$M$9,$M151,$N$9,$P151,$Q$9,$S151)))</f>
        <v/>
      </c>
      <c r="AB151" s="150" t="str">
        <f>IF(B151="","",IF(LEFT(_xll.BDP($B151,AB$9,"fill=b"),1)="#","-",_xll.BDP($B151,AB$9,"fill=b")))</f>
        <v/>
      </c>
      <c r="AC151" s="150" t="str">
        <f t="shared" si="47"/>
        <v>YLD FLAG=2</v>
      </c>
      <c r="AD151" s="150" t="str">
        <f>IF(B151="","",_xll.BDP($B151,AD$9,"fill=b"))</f>
        <v/>
      </c>
      <c r="AE151" s="256" t="str">
        <f>IF(B151="","",IF(ISERROR(_xll.BDH(B151,"PX LAST",AN151,AN151,"DAYS=ALL","PRICING SOURCE",$C$6)*1),_xll.BDP(B151,"PAR AMT"),_xll.BDH(B151,"PX LAST",AN151,AN151,"DAYS=ALL","PRICING SOURCE",$C$6)))</f>
        <v/>
      </c>
      <c r="AF151" s="150" t="str">
        <f>IF(B151="","",_xll.BDP($B151,AF$9,"fill=b"))</f>
        <v/>
      </c>
      <c r="AG151" s="150"/>
      <c r="AH151" s="190" t="str">
        <f>IF(B151="","",IF($AD151="AT MATURITY",$AB151*1,_xll.BADDPERIODS(_xll.BDP($B151,"issue dt"),"numberofperiods",TRUNC(_xll.BDP($B151,"YRS_TO_LONGEST_AVG_LIFE","YLD_YTM_BID",AF151,"SETTLE_DT",U151,AC151),0),"per=y")+(ROUND(MOD(_xll.BDP(B151,"YRS_TO_LONGEST_AVG_LIFE","YLD_YTM_BID",AF151,"SETTLE_DT",U151,AC151),1)*360,0))))</f>
        <v/>
      </c>
      <c r="AI151" s="150" t="str">
        <f t="array" ref="AI151">IF(B151="","",AF151-_xll.BInterpol(_xll.BDP(_xll.BDS("YCGT0372 Index","curve members","CURVE_DATE", $U151,"endcol=1","array=true"),"maturity")*1,_xll.BDH(_xll.BDS("YCGT0372 Index","curve members","CURVE_DATE", $U151,"endcol=1","array=true"),"yld cnv mid",$U151,$U151,"days=all"),AH151,"CUBIC","Extrapolate=LINEAR","SKIP=TRUE","SORT=TRUE","MultiX=Average"))</f>
        <v/>
      </c>
      <c r="AJ151" s="189" t="str">
        <f t="shared" si="43"/>
        <v/>
      </c>
      <c r="AK151" s="257" t="str">
        <f>IF(B151="","",_xll.BDP($B151,AK$9,"fill=b"))</f>
        <v/>
      </c>
      <c r="AL151" s="257" t="str">
        <f>IF(B151="","",_xll.BDP($B151,AL$9,"fill=b"))</f>
        <v/>
      </c>
      <c r="AM151" s="256" t="str">
        <f>IF(B151="","",_xll.BDP($B151,AM$9,"fill=b"))</f>
        <v/>
      </c>
      <c r="AN151" s="150" t="str">
        <f>IF(B151="","",_xll.BDP($B151,AN$9,"fill=b"))</f>
        <v/>
      </c>
      <c r="AO151" s="150" t="str">
        <f>IF(B151="","",IF(LEFT(_xll.BDP($B151,AO$9,"fill=b"),1)="#","-",_xll.BDP($B151,AO$9,"fill=b")))</f>
        <v/>
      </c>
      <c r="AP151" s="150" t="str">
        <f>IF(B151="","",_xll.BDP($B151,AP$9,"fill=b"))</f>
        <v/>
      </c>
      <c r="AQ151" s="150" t="str">
        <f>IF(B151="","",_xll.BDP($B151,AQ$9,"fill=b"))</f>
        <v/>
      </c>
      <c r="AR151" s="150" t="str">
        <f>IF(B151="","",_xll.BDP($B151,AR$9,"fill=b"))</f>
        <v/>
      </c>
      <c r="AS151" s="150" t="str">
        <f>IF(B151="","",_xll.BDP($B151,AS$9,"fill=b"))</f>
        <v/>
      </c>
      <c r="AT151" s="150" t="str">
        <f>IF(B151="","",_xll.BDP($B151,AT$9,"fill=b"))</f>
        <v/>
      </c>
      <c r="AU151" s="258" t="str">
        <f>IF(B151="","",_xll.BDP($B151,AU$9,"fill=b"))</f>
        <v/>
      </c>
    </row>
    <row r="152" spans="2:47" ht="15" x14ac:dyDescent="0.25">
      <c r="B152" s="232"/>
      <c r="C152" s="150" t="str">
        <f>IF(B152="","",_xll.BDP($B152,C$9,"fill=b"))</f>
        <v/>
      </c>
      <c r="D152" s="150" t="str">
        <f>IF(B152="","",_xll.BDP($B152,D$9,"fill=b"))</f>
        <v/>
      </c>
      <c r="E152" s="150" t="str">
        <f>IF(B152="","",_xll.BDP($B152,E$9,"fill=b"))</f>
        <v/>
      </c>
      <c r="F152" s="150" t="str">
        <f>IF(B152="","",IF(LEFT(_xll.BDP($B152,F$9,"fill=b"),1)="#","-",_xll.BDP($B152,F$9,"fill=b")))</f>
        <v/>
      </c>
      <c r="G152" s="150" t="str">
        <f>IF(B152="","",_xll.BDP($B152,G$9,"fill=b"))</f>
        <v/>
      </c>
      <c r="H152" s="150" t="str">
        <f>IF(B152="","",_xll.BDP($B152,H$9,"fill=b"))</f>
        <v/>
      </c>
      <c r="I152" s="150" t="str" cm="1">
        <f t="array" ref="I152">IF(LEFT(_xlfn.SINGLE(_xll.BDP(B152,"REFERENCE_INDEX")),1)="#",IF(LEFT(_xlfn.SINGLE(_xll.BDP(B152, "RESET_IDX"))&amp;" Index",1)="#","",_xlfn.SINGLE(_xll.BDP(B152, "RESET_IDX"))&amp;" Index"),_xll.BDP(B152,"REFERENCE_INDEX"))</f>
        <v/>
      </c>
      <c r="J152" s="150" t="str">
        <f>IF(I152="BZDIOVRA Index",IF(_xll.BDP(B152,"FLT_SPREAD")/100=0,_xll.BDP(B152,"FLT_BENCH_MULTIPLIER"),_xll.BDP(B152,"FLT_SPREAD")/100),"")</f>
        <v/>
      </c>
      <c r="K152" s="150" t="str">
        <f>IF(B152="","",IF(LEFT(_xll.BDP($B152,K$9,"fill=b"),1)="#","-",_xll.BDP($B152,K$9,"fill=b")))</f>
        <v/>
      </c>
      <c r="L152" s="233"/>
      <c r="M152" s="234" t="str">
        <f t="shared" si="44"/>
        <v/>
      </c>
      <c r="N152" s="252" t="str">
        <f>IF(B152="","",IF(R152="",IF(OR(AD152="SINKABLE",AD152="CALL/SINK"),_xll.BDP(B152,$N$9,$M$9,M152,"PRICING SOURCE",$C$6,"FILL=B"),_xll.BDP(B152,$N$9,$M$9,M152,"PRICING SOURCE",$C$6,"FILL=B")),IF(OR(AD152="SINKABLE",AD152="CALL/SINK"),_xll.BDP(B152,$N$9,$Q$10,S152,$M$9,M152,"PRICING SOURCE",$C$6,"FILL=B"),_xll.BDP(B152,$N$9,$Q$9,S152,$M$9,M152,"PRICING SOURCE",$C$6,"FILL=B"))))</f>
        <v/>
      </c>
      <c r="O152" s="235"/>
      <c r="P152" s="236" t="str">
        <f t="shared" si="45"/>
        <v/>
      </c>
      <c r="Q152" s="166" t="str" cm="1">
        <f t="array" ref="Q152">IF(ISERROR((_xlfn.SINGLE(IF(OR(AD152="SINKABLE",AD152="CALL/SINK"),_xll.BDP($B152,$Q$10,"fill=b","PRICING_SOURCE",$C$6,$AC152,$N$9,$P152,$M$9,$M152),_xll.BDP($B152,Q$9,"fill=b","PRICING_SOURCE",$C$6,$AC152,$N$9,$P152,$M$9,$M152))))*1),"",IF(OR(AD152="SINKABLE",AD152="CALL/SINK"),_xll.BDP($B152,$Q$10,"fill=b","PRICING_SOURCE",$C$6,$AC152,$N$9,$P152,$M$9,$M152),_xll.BDP($B152,Q$9,"fill=b","PRICING_SOURCE",$C$6,$AC152,$N$9,$P152,$M$9,$M152)))</f>
        <v/>
      </c>
      <c r="R152" s="237"/>
      <c r="S152" s="238" t="str">
        <f t="shared" si="46"/>
        <v/>
      </c>
      <c r="T152" s="239" t="str" cm="1">
        <f t="array" ref="T152">IF(ISERROR((_xlfn.SINGLE(IF(OR(AD152="SINKABLE",AD152="CALL/SINK"),_xll.BDP($B152,$Q$10,"fill=b","PRICING_SOURCE",$C$6,$AC152,$M$9,$U152,"px ask",$AE152),_xll.BDP($B152,Q$9,"fill=b","PRICING_SOURCE",$C$6,$AC152,$M$9,$U152,"px ask",$AE152))))*1),"",IF(OR(AD152="SINKABLE",AD152="CALL/SINK"),_xll.BDP($B152,$Q$10,"fill=b","PRICING_SOURCE",$C$6,$AC152,$M$9,$U152,"px ask",$AE152),_xll.BDP($B152,Q$9,"fill=b","PRICING_SOURCE",$C$6,$AC152,$M$9,$U152,"px ask",$AE152)))</f>
        <v/>
      </c>
      <c r="U152" s="240" t="str">
        <f t="shared" si="41"/>
        <v/>
      </c>
      <c r="V152" s="254" t="str">
        <f>IF(B152="","",IF(I152="BZDIOVRA Index",IF(OR(AD152="SINKABLE",AD152="CALL/SINK"),_xll.BDP($B152,"PX_ASK",$Q$10,J152,$M$9,M152),_xll.BDP($B152,"PX_"&amp;$H$7,$Q$9,J152,$M$9,M152)),_xll.BDP($B152,"PX_"&amp;$H$7,$Q$9,_xll.BDP(B152,"CPN"),$M$9,M152)))</f>
        <v/>
      </c>
      <c r="W152" s="254" t="str">
        <f t="shared" si="42"/>
        <v/>
      </c>
      <c r="X152" s="166" t="str">
        <f>IF(B152="","",IF(OR(AD152="SINKABLE",AD152="CALL/SINK"),_xll.BDP($B152,X$9,"fill=b","PRICING_SOURCE",$C$6,$AC152,$M$9,$M152,$N$9,$P152,$Q$10,$S152),_xll.BDP($B152,X$9,"fill=b","PRICING_SOURCE",$C$6,$AC152,$M$9,$M152,$N$9,$P152,$Q$9,$S152)))</f>
        <v/>
      </c>
      <c r="Y152" s="166" t="str">
        <f>IF(B152="","",IF(OR(AD152="SINKABLE",AD152="CALL/SINK"),_xll.BDP($B152,Y$9,"fill=b","PRICING_SOURCE",$C$6,$AC152,$M$9,$M152,$N$9,$P152,$Q$10,$S152),_xll.BDP($B152,Y$9,"fill=b","PRICING_SOURCE",$C$6,$AC152,$M$9,$M152,$N$9,$P152,$Q$9,$S152)))</f>
        <v/>
      </c>
      <c r="Z152" s="255" t="str">
        <f>IF(B152="","",IF(OR(AD152="SINKABLE",AD152="CALL/SINK"),_xll.BDP($B152,Z$9,"fill=b","PRICING_SOURCE",$C$6,$AC152,$M$9,$M152,$N$9,$P152,$Q$10,$S152),_xll.BDP($B152,Z$9,"fill=b","PRICING_SOURCE",$C$6,$AC152,$M$9,$M152,$N$9,$P152,$Q$9,$S152)))</f>
        <v/>
      </c>
      <c r="AA152" s="166" t="str">
        <f>IF(B152="","",IF(OR(AD152="SINKABLE",AD152="CALL/SINK"),_xll.BDP($B152,AA$9,"fill=b","PRICING_SOURCE",$C$6,$AC152,$M$9,$M152,$N$9,$P152,$Q$10,$S152),_xll.BDP($B152,AA$9,"fill=b","PRICING_SOURCE",$C$6,$AC152,$M$9,$M152,$N$9,$P152,$Q$9,$S152)))</f>
        <v/>
      </c>
      <c r="AB152" s="150" t="str">
        <f>IF(B152="","",IF(LEFT(_xll.BDP($B152,AB$9,"fill=b"),1)="#","-",_xll.BDP($B152,AB$9,"fill=b")))</f>
        <v/>
      </c>
      <c r="AC152" s="150" t="str">
        <f t="shared" si="47"/>
        <v>YLD FLAG=2</v>
      </c>
      <c r="AD152" s="150" t="str">
        <f>IF(B152="","",_xll.BDP($B152,AD$9,"fill=b"))</f>
        <v/>
      </c>
      <c r="AE152" s="256" t="str">
        <f>IF(B152="","",IF(ISERROR(_xll.BDH(B152,"PX LAST",AN152,AN152,"DAYS=ALL","PRICING SOURCE",$C$6)*1),_xll.BDP(B152,"PAR AMT"),_xll.BDH(B152,"PX LAST",AN152,AN152,"DAYS=ALL","PRICING SOURCE",$C$6)))</f>
        <v/>
      </c>
      <c r="AF152" s="150" t="str">
        <f>IF(B152="","",_xll.BDP($B152,AF$9,"fill=b"))</f>
        <v/>
      </c>
      <c r="AG152" s="150"/>
      <c r="AH152" s="190" t="str">
        <f>IF(B152="","",IF($AD152="AT MATURITY",$AB152*1,_xll.BADDPERIODS(_xll.BDP($B152,"issue dt"),"numberofperiods",TRUNC(_xll.BDP($B152,"YRS_TO_LONGEST_AVG_LIFE","YLD_YTM_BID",AF152,"SETTLE_DT",U152,AC152),0),"per=y")+(ROUND(MOD(_xll.BDP(B152,"YRS_TO_LONGEST_AVG_LIFE","YLD_YTM_BID",AF152,"SETTLE_DT",U152,AC152),1)*360,0))))</f>
        <v/>
      </c>
      <c r="AI152" s="150" t="str">
        <f t="array" ref="AI152">IF(B152="","",AF152-_xll.BInterpol(_xll.BDP(_xll.BDS("YCGT0372 Index","curve members","CURVE_DATE", $U152,"endcol=1","array=true"),"maturity")*1,_xll.BDH(_xll.BDS("YCGT0372 Index","curve members","CURVE_DATE", $U152,"endcol=1","array=true"),"yld cnv mid",$U152,$U152,"days=all"),AH152,"CUBIC","Extrapolate=LINEAR","SKIP=TRUE","SORT=TRUE","MultiX=Average"))</f>
        <v/>
      </c>
      <c r="AJ152" s="189" t="str">
        <f t="shared" si="43"/>
        <v/>
      </c>
      <c r="AK152" s="257" t="str">
        <f>IF(B152="","",_xll.BDP($B152,AK$9,"fill=b"))</f>
        <v/>
      </c>
      <c r="AL152" s="257" t="str">
        <f>IF(B152="","",_xll.BDP($B152,AL$9,"fill=b"))</f>
        <v/>
      </c>
      <c r="AM152" s="256" t="str">
        <f>IF(B152="","",_xll.BDP($B152,AM$9,"fill=b"))</f>
        <v/>
      </c>
      <c r="AN152" s="150" t="str">
        <f>IF(B152="","",_xll.BDP($B152,AN$9,"fill=b"))</f>
        <v/>
      </c>
      <c r="AO152" s="150" t="str">
        <f>IF(B152="","",IF(LEFT(_xll.BDP($B152,AO$9,"fill=b"),1)="#","-",_xll.BDP($B152,AO$9,"fill=b")))</f>
        <v/>
      </c>
      <c r="AP152" s="150" t="str">
        <f>IF(B152="","",_xll.BDP($B152,AP$9,"fill=b"))</f>
        <v/>
      </c>
      <c r="AQ152" s="150" t="str">
        <f>IF(B152="","",_xll.BDP($B152,AQ$9,"fill=b"))</f>
        <v/>
      </c>
      <c r="AR152" s="150" t="str">
        <f>IF(B152="","",_xll.BDP($B152,AR$9,"fill=b"))</f>
        <v/>
      </c>
      <c r="AS152" s="150" t="str">
        <f>IF(B152="","",_xll.BDP($B152,AS$9,"fill=b"))</f>
        <v/>
      </c>
      <c r="AT152" s="150" t="str">
        <f>IF(B152="","",_xll.BDP($B152,AT$9,"fill=b"))</f>
        <v/>
      </c>
      <c r="AU152" s="258" t="str">
        <f>IF(B152="","",_xll.BDP($B152,AU$9,"fill=b"))</f>
        <v/>
      </c>
    </row>
    <row r="153" spans="2:47" ht="15" x14ac:dyDescent="0.25">
      <c r="B153" s="232"/>
      <c r="C153" s="150" t="str">
        <f>IF(B153="","",_xll.BDP($B153,C$9,"fill=b"))</f>
        <v/>
      </c>
      <c r="D153" s="150" t="str">
        <f>IF(B153="","",_xll.BDP($B153,D$9,"fill=b"))</f>
        <v/>
      </c>
      <c r="E153" s="150" t="str">
        <f>IF(B153="","",_xll.BDP($B153,E$9,"fill=b"))</f>
        <v/>
      </c>
      <c r="F153" s="150" t="str">
        <f>IF(B153="","",IF(LEFT(_xll.BDP($B153,F$9,"fill=b"),1)="#","-",_xll.BDP($B153,F$9,"fill=b")))</f>
        <v/>
      </c>
      <c r="G153" s="150" t="str">
        <f>IF(B153="","",_xll.BDP($B153,G$9,"fill=b"))</f>
        <v/>
      </c>
      <c r="H153" s="150" t="str">
        <f>IF(B153="","",_xll.BDP($B153,H$9,"fill=b"))</f>
        <v/>
      </c>
      <c r="I153" s="150" t="str" cm="1">
        <f t="array" ref="I153">IF(LEFT(_xlfn.SINGLE(_xll.BDP(B153,"REFERENCE_INDEX")),1)="#",IF(LEFT(_xlfn.SINGLE(_xll.BDP(B153, "RESET_IDX"))&amp;" Index",1)="#","",_xlfn.SINGLE(_xll.BDP(B153, "RESET_IDX"))&amp;" Index"),_xll.BDP(B153,"REFERENCE_INDEX"))</f>
        <v/>
      </c>
      <c r="J153" s="150" t="str">
        <f>IF(I153="BZDIOVRA Index",IF(_xll.BDP(B153,"FLT_SPREAD")/100=0,_xll.BDP(B153,"FLT_BENCH_MULTIPLIER"),_xll.BDP(B153,"FLT_SPREAD")/100),"")</f>
        <v/>
      </c>
      <c r="K153" s="150" t="str">
        <f>IF(B153="","",IF(LEFT(_xll.BDP($B153,K$9,"fill=b"),1)="#","-",_xll.BDP($B153,K$9,"fill=b")))</f>
        <v/>
      </c>
      <c r="L153" s="233"/>
      <c r="M153" s="234" t="str">
        <f t="shared" ref="M153:M160" si="48">IF(B153="","",IF(L153="",TEXT(YEAR(K153)*10000+MONTH(K153)*100+DAY(K153),"00000000"),TEXT(YEAR(L153)*10000+MONTH(L153)*100+DAY(L153),"00000000")))</f>
        <v/>
      </c>
      <c r="N153" s="252" t="str">
        <f>IF(B153="","",IF(R153="",IF(OR(AD153="SINKABLE",AD153="CALL/SINK"),_xll.BDP(B153,$N$9,$M$9,M153,"PRICING SOURCE",$C$6,"FILL=B"),_xll.BDP(B153,$N$9,$M$9,M153,"PRICING SOURCE",$C$6,"FILL=B")),IF(OR(AD153="SINKABLE",AD153="CALL/SINK"),_xll.BDP(B153,$N$9,$Q$10,S153,$M$9,M153,"PRICING SOURCE",$C$6,"FILL=B"),_xll.BDP(B153,$N$9,$Q$9,S153,$M$9,M153,"PRICING SOURCE",$C$6,"FILL=B"))))</f>
        <v/>
      </c>
      <c r="O153" s="235"/>
      <c r="P153" s="236" t="str">
        <f t="shared" si="45"/>
        <v/>
      </c>
      <c r="Q153" s="166" t="str" cm="1">
        <f t="array" ref="Q153">IF(ISERROR((_xlfn.SINGLE(IF(OR(AD153="SINKABLE",AD153="CALL/SINK"),_xll.BDP($B153,$Q$10,"fill=b","PRICING_SOURCE",$C$6,$AC153,$N$9,$P153,$M$9,$M153),_xll.BDP($B153,Q$9,"fill=b","PRICING_SOURCE",$C$6,$AC153,$N$9,$P153,$M$9,$M153))))*1),"",IF(OR(AD153="SINKABLE",AD153="CALL/SINK"),_xll.BDP($B153,$Q$10,"fill=b","PRICING_SOURCE",$C$6,$AC153,$N$9,$P153,$M$9,$M153),_xll.BDP($B153,Q$9,"fill=b","PRICING_SOURCE",$C$6,$AC153,$N$9,$P153,$M$9,$M153)))</f>
        <v/>
      </c>
      <c r="R153" s="237"/>
      <c r="S153" s="238" t="str">
        <f t="shared" si="46"/>
        <v/>
      </c>
      <c r="T153" s="239" t="str" cm="1">
        <f t="array" ref="T153">IF(ISERROR((_xlfn.SINGLE(IF(OR(AD153="SINKABLE",AD153="CALL/SINK"),_xll.BDP($B153,$Q$10,"fill=b","PRICING_SOURCE",$C$6,$AC153,$M$9,$U153,"px ask",$AE153),_xll.BDP($B153,Q$9,"fill=b","PRICING_SOURCE",$C$6,$AC153,$M$9,$U153,"px ask",$AE153))))*1),"",IF(OR(AD153="SINKABLE",AD153="CALL/SINK"),_xll.BDP($B153,$Q$10,"fill=b","PRICING_SOURCE",$C$6,$AC153,$M$9,$U153,"px ask",$AE153),_xll.BDP($B153,Q$9,"fill=b","PRICING_SOURCE",$C$6,$AC153,$M$9,$U153,"px ask",$AE153)))</f>
        <v/>
      </c>
      <c r="U153" s="240" t="str">
        <f t="shared" si="41"/>
        <v/>
      </c>
      <c r="V153" s="254" t="str">
        <f>IF(B153="","",IF(I153="BZDIOVRA Index",IF(OR(AD153="SINKABLE",AD153="CALL/SINK"),_xll.BDP($B153,"PX_ASK",$Q$10,J153,$M$9,M153),_xll.BDP($B153,"PX_"&amp;$H$7,$Q$9,J153,$M$9,M153)),_xll.BDP($B153,"PX_"&amp;$H$7,$Q$9,_xll.BDP(B153,"CPN"),$M$9,M153)))</f>
        <v/>
      </c>
      <c r="W153" s="254" t="str">
        <f t="shared" si="42"/>
        <v/>
      </c>
      <c r="X153" s="166" t="str">
        <f>IF(B153="","",IF(OR(AD153="SINKABLE",AD153="CALL/SINK"),_xll.BDP($B153,X$9,"fill=b","PRICING_SOURCE",$C$6,$AC153,$M$9,$M153,$N$9,$P153,$Q$10,$S153),_xll.BDP($B153,X$9,"fill=b","PRICING_SOURCE",$C$6,$AC153,$M$9,$M153,$N$9,$P153,$Q$9,$S153)))</f>
        <v/>
      </c>
      <c r="Y153" s="166" t="str">
        <f>IF(B153="","",IF(OR(AD153="SINKABLE",AD153="CALL/SINK"),_xll.BDP($B153,Y$9,"fill=b","PRICING_SOURCE",$C$6,$AC153,$M$9,$M153,$N$9,$P153,$Q$10,$S153),_xll.BDP($B153,Y$9,"fill=b","PRICING_SOURCE",$C$6,$AC153,$M$9,$M153,$N$9,$P153,$Q$9,$S153)))</f>
        <v/>
      </c>
      <c r="Z153" s="255" t="str">
        <f>IF(B153="","",IF(OR(AD153="SINKABLE",AD153="CALL/SINK"),_xll.BDP($B153,Z$9,"fill=b","PRICING_SOURCE",$C$6,$AC153,$M$9,$M153,$N$9,$P153,$Q$10,$S153),_xll.BDP($B153,Z$9,"fill=b","PRICING_SOURCE",$C$6,$AC153,$M$9,$M153,$N$9,$P153,$Q$9,$S153)))</f>
        <v/>
      </c>
      <c r="AA153" s="166" t="str">
        <f>IF(B153="","",IF(OR(AD153="SINKABLE",AD153="CALL/SINK"),_xll.BDP($B153,AA$9,"fill=b","PRICING_SOURCE",$C$6,$AC153,$M$9,$M153,$N$9,$P153,$Q$10,$S153),_xll.BDP($B153,AA$9,"fill=b","PRICING_SOURCE",$C$6,$AC153,$M$9,$M153,$N$9,$P153,$Q$9,$S153)))</f>
        <v/>
      </c>
      <c r="AB153" s="150" t="str">
        <f>IF(B153="","",IF(LEFT(_xll.BDP($B153,AB$9,"fill=b"),1)="#","-",_xll.BDP($B153,AB$9,"fill=b")))</f>
        <v/>
      </c>
      <c r="AC153" s="150" t="str">
        <f t="shared" si="47"/>
        <v>YLD FLAG=2</v>
      </c>
      <c r="AD153" s="150" t="str">
        <f>IF(B153="","",_xll.BDP($B153,AD$9,"fill=b"))</f>
        <v/>
      </c>
      <c r="AE153" s="256" t="str">
        <f>IF(B153="","",IF(ISERROR(_xll.BDH(B153,"PX LAST",AN153,AN153,"DAYS=ALL","PRICING SOURCE",$C$6)*1),_xll.BDP(B153,"PAR AMT"),_xll.BDH(B153,"PX LAST",AN153,AN153,"DAYS=ALL","PRICING SOURCE",$C$6)))</f>
        <v/>
      </c>
      <c r="AF153" s="150" t="str">
        <f>IF(B153="","",_xll.BDP($B153,AF$9,"fill=b"))</f>
        <v/>
      </c>
      <c r="AG153" s="150"/>
      <c r="AH153" s="190" t="str">
        <f>IF(B153="","",IF($AD153="AT MATURITY",$AB153*1,_xll.BADDPERIODS(_xll.BDP($B153,"issue dt"),"numberofperiods",TRUNC(_xll.BDP($B153,"YRS_TO_LONGEST_AVG_LIFE","YLD_YTM_BID",AF153,"SETTLE_DT",U153,AC153),0),"per=y")+(ROUND(MOD(_xll.BDP(B153,"YRS_TO_LONGEST_AVG_LIFE","YLD_YTM_BID",AF153,"SETTLE_DT",U153,AC153),1)*360,0))))</f>
        <v/>
      </c>
      <c r="AI153" s="150" t="str">
        <f t="array" ref="AI153">IF(B153="","",AF153-_xll.BInterpol(_xll.BDP(_xll.BDS("YCGT0372 Index","curve members","CURVE_DATE", $U153,"endcol=1","array=true"),"maturity")*1,_xll.BDH(_xll.BDS("YCGT0372 Index","curve members","CURVE_DATE", $U153,"endcol=1","array=true"),"yld cnv mid",$U153,$U153,"days=all"),AH153,"CUBIC","Extrapolate=LINEAR","SKIP=TRUE","SORT=TRUE","MultiX=Average"))</f>
        <v/>
      </c>
      <c r="AJ153" s="189" t="str">
        <f t="shared" si="43"/>
        <v/>
      </c>
      <c r="AK153" s="257" t="str">
        <f>IF(B153="","",_xll.BDP($B153,AK$9,"fill=b"))</f>
        <v/>
      </c>
      <c r="AL153" s="257" t="str">
        <f>IF(B153="","",_xll.BDP($B153,AL$9,"fill=b"))</f>
        <v/>
      </c>
      <c r="AM153" s="256" t="str">
        <f>IF(B153="","",_xll.BDP($B153,AM$9,"fill=b"))</f>
        <v/>
      </c>
      <c r="AN153" s="150" t="str">
        <f>IF(B153="","",_xll.BDP($B153,AN$9,"fill=b"))</f>
        <v/>
      </c>
      <c r="AO153" s="150" t="str">
        <f>IF(B153="","",IF(LEFT(_xll.BDP($B153,AO$9,"fill=b"),1)="#","-",_xll.BDP($B153,AO$9,"fill=b")))</f>
        <v/>
      </c>
      <c r="AP153" s="150" t="str">
        <f>IF(B153="","",_xll.BDP($B153,AP$9,"fill=b"))</f>
        <v/>
      </c>
      <c r="AQ153" s="150" t="str">
        <f>IF(B153="","",_xll.BDP($B153,AQ$9,"fill=b"))</f>
        <v/>
      </c>
      <c r="AR153" s="150" t="str">
        <f>IF(B153="","",_xll.BDP($B153,AR$9,"fill=b"))</f>
        <v/>
      </c>
      <c r="AS153" s="150" t="str">
        <f>IF(B153="","",_xll.BDP($B153,AS$9,"fill=b"))</f>
        <v/>
      </c>
      <c r="AT153" s="150" t="str">
        <f>IF(B153="","",_xll.BDP($B153,AT$9,"fill=b"))</f>
        <v/>
      </c>
      <c r="AU153" s="258" t="str">
        <f>IF(B153="","",_xll.BDP($B153,AU$9,"fill=b"))</f>
        <v/>
      </c>
    </row>
    <row r="154" spans="2:47" ht="15" x14ac:dyDescent="0.25">
      <c r="B154" s="232"/>
      <c r="C154" s="150" t="str">
        <f>IF(B154="","",_xll.BDP($B154,C$9,"fill=b"))</f>
        <v/>
      </c>
      <c r="D154" s="150" t="str">
        <f>IF(B154="","",_xll.BDP($B154,D$9,"fill=b"))</f>
        <v/>
      </c>
      <c r="E154" s="150" t="str">
        <f>IF(B154="","",_xll.BDP($B154,E$9,"fill=b"))</f>
        <v/>
      </c>
      <c r="F154" s="150" t="str">
        <f>IF(B154="","",IF(LEFT(_xll.BDP($B154,F$9,"fill=b"),1)="#","-",_xll.BDP($B154,F$9,"fill=b")))</f>
        <v/>
      </c>
      <c r="G154" s="150" t="str">
        <f>IF(B154="","",_xll.BDP($B154,G$9,"fill=b"))</f>
        <v/>
      </c>
      <c r="H154" s="150" t="str">
        <f>IF(B154="","",_xll.BDP($B154,H$9,"fill=b"))</f>
        <v/>
      </c>
      <c r="I154" s="150" t="str" cm="1">
        <f t="array" ref="I154">IF(LEFT(_xlfn.SINGLE(_xll.BDP(B154,"REFERENCE_INDEX")),1)="#",IF(LEFT(_xlfn.SINGLE(_xll.BDP(B154, "RESET_IDX"))&amp;" Index",1)="#","",_xlfn.SINGLE(_xll.BDP(B154, "RESET_IDX"))&amp;" Index"),_xll.BDP(B154,"REFERENCE_INDEX"))</f>
        <v/>
      </c>
      <c r="J154" s="150" t="str">
        <f>IF(I154="BZDIOVRA Index",IF(_xll.BDP(B154,"FLT_SPREAD")/100=0,_xll.BDP(B154,"FLT_BENCH_MULTIPLIER"),_xll.BDP(B154,"FLT_SPREAD")/100),"")</f>
        <v/>
      </c>
      <c r="K154" s="150" t="str">
        <f>IF(B154="","",IF(LEFT(_xll.BDP($B154,K$9,"fill=b"),1)="#","-",_xll.BDP($B154,K$9,"fill=b")))</f>
        <v/>
      </c>
      <c r="L154" s="233"/>
      <c r="M154" s="234" t="str">
        <f t="shared" si="48"/>
        <v/>
      </c>
      <c r="N154" s="252" t="str">
        <f>IF(B154="","",IF(R154="",IF(OR(AD154="SINKABLE",AD154="CALL/SINK"),_xll.BDP(B154,$N$9,$M$9,M154,"PRICING SOURCE",$C$6,"FILL=B"),_xll.BDP(B154,$N$9,$M$9,M154,"PRICING SOURCE",$C$6,"FILL=B")),IF(OR(AD154="SINKABLE",AD154="CALL/SINK"),_xll.BDP(B154,$N$9,$Q$10,S154,$M$9,M154,"PRICING SOURCE",$C$6,"FILL=B"),_xll.BDP(B154,$N$9,$Q$9,S154,$M$9,M154,"PRICING SOURCE",$C$6,"FILL=B"))))</f>
        <v/>
      </c>
      <c r="O154" s="235"/>
      <c r="P154" s="236" t="str">
        <f t="shared" si="45"/>
        <v/>
      </c>
      <c r="Q154" s="166" t="str" cm="1">
        <f t="array" ref="Q154">IF(ISERROR((_xlfn.SINGLE(IF(OR(AD154="SINKABLE",AD154="CALL/SINK"),_xll.BDP($B154,$Q$10,"fill=b","PRICING_SOURCE",$C$6,$AC154,$N$9,$P154,$M$9,$M154),_xll.BDP($B154,Q$9,"fill=b","PRICING_SOURCE",$C$6,$AC154,$N$9,$P154,$M$9,$M154))))*1),"",IF(OR(AD154="SINKABLE",AD154="CALL/SINK"),_xll.BDP($B154,$Q$10,"fill=b","PRICING_SOURCE",$C$6,$AC154,$N$9,$P154,$M$9,$M154),_xll.BDP($B154,Q$9,"fill=b","PRICING_SOURCE",$C$6,$AC154,$N$9,$P154,$M$9,$M154)))</f>
        <v/>
      </c>
      <c r="R154" s="237"/>
      <c r="S154" s="238" t="str">
        <f t="shared" si="46"/>
        <v/>
      </c>
      <c r="T154" s="239" t="str" cm="1">
        <f t="array" ref="T154">IF(ISERROR((_xlfn.SINGLE(IF(OR(AD154="SINKABLE",AD154="CALL/SINK"),_xll.BDP($B154,$Q$10,"fill=b","PRICING_SOURCE",$C$6,$AC154,$M$9,$U154,"px ask",$AE154),_xll.BDP($B154,Q$9,"fill=b","PRICING_SOURCE",$C$6,$AC154,$M$9,$U154,"px ask",$AE154))))*1),"",IF(OR(AD154="SINKABLE",AD154="CALL/SINK"),_xll.BDP($B154,$Q$10,"fill=b","PRICING_SOURCE",$C$6,$AC154,$M$9,$U154,"px ask",$AE154),_xll.BDP($B154,Q$9,"fill=b","PRICING_SOURCE",$C$6,$AC154,$M$9,$U154,"px ask",$AE154)))</f>
        <v/>
      </c>
      <c r="U154" s="240" t="str">
        <f t="shared" si="41"/>
        <v/>
      </c>
      <c r="V154" s="254" t="str">
        <f>IF(B154="","",IF(I154="BZDIOVRA Index",IF(OR(AD154="SINKABLE",AD154="CALL/SINK"),_xll.BDP($B154,"PX_ASK",$Q$10,J154,$M$9,M154),_xll.BDP($B154,"PX_"&amp;$H$7,$Q$9,J154,$M$9,M154)),_xll.BDP($B154,"PX_"&amp;$H$7,$Q$9,_xll.BDP(B154,"CPN"),$M$9,M154)))</f>
        <v/>
      </c>
      <c r="W154" s="254" t="str">
        <f t="shared" si="42"/>
        <v/>
      </c>
      <c r="X154" s="166" t="str">
        <f>IF(B154="","",IF(OR(AD154="SINKABLE",AD154="CALL/SINK"),_xll.BDP($B154,X$9,"fill=b","PRICING_SOURCE",$C$6,$AC154,$M$9,$M154,$N$9,$P154,$Q$10,$S154),_xll.BDP($B154,X$9,"fill=b","PRICING_SOURCE",$C$6,$AC154,$M$9,$M154,$N$9,$P154,$Q$9,$S154)))</f>
        <v/>
      </c>
      <c r="Y154" s="166" t="str">
        <f>IF(B154="","",IF(OR(AD154="SINKABLE",AD154="CALL/SINK"),_xll.BDP($B154,Y$9,"fill=b","PRICING_SOURCE",$C$6,$AC154,$M$9,$M154,$N$9,$P154,$Q$10,$S154),_xll.BDP($B154,Y$9,"fill=b","PRICING_SOURCE",$C$6,$AC154,$M$9,$M154,$N$9,$P154,$Q$9,$S154)))</f>
        <v/>
      </c>
      <c r="Z154" s="255" t="str">
        <f>IF(B154="","",IF(OR(AD154="SINKABLE",AD154="CALL/SINK"),_xll.BDP($B154,Z$9,"fill=b","PRICING_SOURCE",$C$6,$AC154,$M$9,$M154,$N$9,$P154,$Q$10,$S154),_xll.BDP($B154,Z$9,"fill=b","PRICING_SOURCE",$C$6,$AC154,$M$9,$M154,$N$9,$P154,$Q$9,$S154)))</f>
        <v/>
      </c>
      <c r="AA154" s="166" t="str">
        <f>IF(B154="","",IF(OR(AD154="SINKABLE",AD154="CALL/SINK"),_xll.BDP($B154,AA$9,"fill=b","PRICING_SOURCE",$C$6,$AC154,$M$9,$M154,$N$9,$P154,$Q$10,$S154),_xll.BDP($B154,AA$9,"fill=b","PRICING_SOURCE",$C$6,$AC154,$M$9,$M154,$N$9,$P154,$Q$9,$S154)))</f>
        <v/>
      </c>
      <c r="AB154" s="150" t="str">
        <f>IF(B154="","",IF(LEFT(_xll.BDP($B154,AB$9,"fill=b"),1)="#","-",_xll.BDP($B154,AB$9,"fill=b")))</f>
        <v/>
      </c>
      <c r="AC154" s="150" t="str">
        <f t="shared" si="47"/>
        <v>YLD FLAG=2</v>
      </c>
      <c r="AD154" s="150" t="str">
        <f>IF(B154="","",_xll.BDP($B154,AD$9,"fill=b"))</f>
        <v/>
      </c>
      <c r="AE154" s="256" t="str">
        <f>IF(B154="","",IF(ISERROR(_xll.BDH(B154,"PX LAST",AN154,AN154,"DAYS=ALL","PRICING SOURCE",$C$6)*1),_xll.BDP(B154,"PAR AMT"),_xll.BDH(B154,"PX LAST",AN154,AN154,"DAYS=ALL","PRICING SOURCE",$C$6)))</f>
        <v/>
      </c>
      <c r="AF154" s="150" t="str">
        <f>IF(B154="","",_xll.BDP($B154,AF$9,"fill=b"))</f>
        <v/>
      </c>
      <c r="AG154" s="150"/>
      <c r="AH154" s="190" t="str">
        <f>IF(B154="","",IF($AD154="AT MATURITY",$AB154*1,_xll.BADDPERIODS(_xll.BDP($B154,"issue dt"),"numberofperiods",TRUNC(_xll.BDP($B154,"YRS_TO_LONGEST_AVG_LIFE","YLD_YTM_BID",AF154,"SETTLE_DT",U154,AC154),0),"per=y")+(ROUND(MOD(_xll.BDP(B154,"YRS_TO_LONGEST_AVG_LIFE","YLD_YTM_BID",AF154,"SETTLE_DT",U154,AC154),1)*360,0))))</f>
        <v/>
      </c>
      <c r="AI154" s="150" t="str">
        <f t="array" ref="AI154">IF(B154="","",AF154-_xll.BInterpol(_xll.BDP(_xll.BDS("YCGT0372 Index","curve members","CURVE_DATE", $U154,"endcol=1","array=true"),"maturity")*1,_xll.BDH(_xll.BDS("YCGT0372 Index","curve members","CURVE_DATE", $U154,"endcol=1","array=true"),"yld cnv mid",$U154,$U154,"days=all"),AH154,"CUBIC","Extrapolate=LINEAR","SKIP=TRUE","SORT=TRUE","MultiX=Average"))</f>
        <v/>
      </c>
      <c r="AJ154" s="189" t="str">
        <f t="shared" si="43"/>
        <v/>
      </c>
      <c r="AK154" s="257" t="str">
        <f>IF(B154="","",_xll.BDP($B154,AK$9,"fill=b"))</f>
        <v/>
      </c>
      <c r="AL154" s="257" t="str">
        <f>IF(B154="","",_xll.BDP($B154,AL$9,"fill=b"))</f>
        <v/>
      </c>
      <c r="AM154" s="256" t="str">
        <f>IF(B154="","",_xll.BDP($B154,AM$9,"fill=b"))</f>
        <v/>
      </c>
      <c r="AN154" s="150" t="str">
        <f>IF(B154="","",_xll.BDP($B154,AN$9,"fill=b"))</f>
        <v/>
      </c>
      <c r="AO154" s="150" t="str">
        <f>IF(B154="","",IF(LEFT(_xll.BDP($B154,AO$9,"fill=b"),1)="#","-",_xll.BDP($B154,AO$9,"fill=b")))</f>
        <v/>
      </c>
      <c r="AP154" s="150" t="str">
        <f>IF(B154="","",_xll.BDP($B154,AP$9,"fill=b"))</f>
        <v/>
      </c>
      <c r="AQ154" s="150" t="str">
        <f>IF(B154="","",_xll.BDP($B154,AQ$9,"fill=b"))</f>
        <v/>
      </c>
      <c r="AR154" s="150" t="str">
        <f>IF(B154="","",_xll.BDP($B154,AR$9,"fill=b"))</f>
        <v/>
      </c>
      <c r="AS154" s="150" t="str">
        <f>IF(B154="","",_xll.BDP($B154,AS$9,"fill=b"))</f>
        <v/>
      </c>
      <c r="AT154" s="150" t="str">
        <f>IF(B154="","",_xll.BDP($B154,AT$9,"fill=b"))</f>
        <v/>
      </c>
      <c r="AU154" s="258" t="str">
        <f>IF(B154="","",_xll.BDP($B154,AU$9,"fill=b"))</f>
        <v/>
      </c>
    </row>
    <row r="155" spans="2:47" ht="15" x14ac:dyDescent="0.25">
      <c r="B155" s="232"/>
      <c r="C155" s="150" t="str">
        <f>IF(B155="","",_xll.BDP($B155,C$9,"fill=b"))</f>
        <v/>
      </c>
      <c r="D155" s="150" t="str">
        <f>IF(B155="","",_xll.BDP($B155,D$9,"fill=b"))</f>
        <v/>
      </c>
      <c r="E155" s="150" t="str">
        <f>IF(B155="","",_xll.BDP($B155,E$9,"fill=b"))</f>
        <v/>
      </c>
      <c r="F155" s="150" t="str">
        <f>IF(B155="","",IF(LEFT(_xll.BDP($B155,F$9,"fill=b"),1)="#","-",_xll.BDP($B155,F$9,"fill=b")))</f>
        <v/>
      </c>
      <c r="G155" s="150" t="str">
        <f>IF(B155="","",_xll.BDP($B155,G$9,"fill=b"))</f>
        <v/>
      </c>
      <c r="H155" s="150" t="str">
        <f>IF(B155="","",_xll.BDP($B155,H$9,"fill=b"))</f>
        <v/>
      </c>
      <c r="I155" s="150" t="str" cm="1">
        <f t="array" ref="I155">IF(LEFT(_xlfn.SINGLE(_xll.BDP(B155,"REFERENCE_INDEX")),1)="#",IF(LEFT(_xlfn.SINGLE(_xll.BDP(B155, "RESET_IDX"))&amp;" Index",1)="#","",_xlfn.SINGLE(_xll.BDP(B155, "RESET_IDX"))&amp;" Index"),_xll.BDP(B155,"REFERENCE_INDEX"))</f>
        <v/>
      </c>
      <c r="J155" s="150" t="str">
        <f>IF(I155="BZDIOVRA Index",IF(_xll.BDP(B155,"FLT_SPREAD")/100=0,_xll.BDP(B155,"FLT_BENCH_MULTIPLIER"),_xll.BDP(B155,"FLT_SPREAD")/100),"")</f>
        <v/>
      </c>
      <c r="K155" s="150" t="str">
        <f>IF(B155="","",IF(LEFT(_xll.BDP($B155,K$9,"fill=b"),1)="#","-",_xll.BDP($B155,K$9,"fill=b")))</f>
        <v/>
      </c>
      <c r="L155" s="233"/>
      <c r="M155" s="234" t="str">
        <f t="shared" si="48"/>
        <v/>
      </c>
      <c r="N155" s="252" t="str">
        <f>IF(B155="","",IF(R155="",IF(OR(AD155="SINKABLE",AD155="CALL/SINK"),_xll.BDP(B155,$N$9,$M$9,M155,"PRICING SOURCE",$C$6,"FILL=B"),_xll.BDP(B155,$N$9,$M$9,M155,"PRICING SOURCE",$C$6,"FILL=B")),IF(OR(AD155="SINKABLE",AD155="CALL/SINK"),_xll.BDP(B155,$N$9,$Q$10,S155,$M$9,M155,"PRICING SOURCE",$C$6,"FILL=B"),_xll.BDP(B155,$N$9,$Q$9,S155,$M$9,M155,"PRICING SOURCE",$C$6,"FILL=B"))))</f>
        <v/>
      </c>
      <c r="O155" s="235"/>
      <c r="P155" s="236" t="str">
        <f t="shared" si="45"/>
        <v/>
      </c>
      <c r="Q155" s="166" t="str" cm="1">
        <f t="array" ref="Q155">IF(ISERROR((_xlfn.SINGLE(IF(OR(AD155="SINKABLE",AD155="CALL/SINK"),_xll.BDP($B155,$Q$10,"fill=b","PRICING_SOURCE",$C$6,$AC155,$N$9,$P155,$M$9,$M155),_xll.BDP($B155,Q$9,"fill=b","PRICING_SOURCE",$C$6,$AC155,$N$9,$P155,$M$9,$M155))))*1),"",IF(OR(AD155="SINKABLE",AD155="CALL/SINK"),_xll.BDP($B155,$Q$10,"fill=b","PRICING_SOURCE",$C$6,$AC155,$N$9,$P155,$M$9,$M155),_xll.BDP($B155,Q$9,"fill=b","PRICING_SOURCE",$C$6,$AC155,$N$9,$P155,$M$9,$M155)))</f>
        <v/>
      </c>
      <c r="R155" s="237"/>
      <c r="S155" s="238" t="str">
        <f t="shared" si="46"/>
        <v/>
      </c>
      <c r="T155" s="239" t="str" cm="1">
        <f t="array" ref="T155">IF(ISERROR((_xlfn.SINGLE(IF(OR(AD155="SINKABLE",AD155="CALL/SINK"),_xll.BDP($B155,$Q$10,"fill=b","PRICING_SOURCE",$C$6,$AC155,$M$9,$U155,"px ask",$AE155),_xll.BDP($B155,Q$9,"fill=b","PRICING_SOURCE",$C$6,$AC155,$M$9,$U155,"px ask",$AE155))))*1),"",IF(OR(AD155="SINKABLE",AD155="CALL/SINK"),_xll.BDP($B155,$Q$10,"fill=b","PRICING_SOURCE",$C$6,$AC155,$M$9,$U155,"px ask",$AE155),_xll.BDP($B155,Q$9,"fill=b","PRICING_SOURCE",$C$6,$AC155,$M$9,$U155,"px ask",$AE155)))</f>
        <v/>
      </c>
      <c r="U155" s="240" t="str">
        <f t="shared" si="41"/>
        <v/>
      </c>
      <c r="V155" s="254" t="str">
        <f>IF(B155="","",IF(I155="BZDIOVRA Index",IF(OR(AD155="SINKABLE",AD155="CALL/SINK"),_xll.BDP($B155,"PX_ASK",$Q$10,J155,$M$9,M155),_xll.BDP($B155,"PX_"&amp;$H$7,$Q$9,J155,$M$9,M155)),_xll.BDP($B155,"PX_"&amp;$H$7,$Q$9,_xll.BDP(B155,"CPN"),$M$9,M155)))</f>
        <v/>
      </c>
      <c r="W155" s="254" t="str">
        <f t="shared" si="42"/>
        <v/>
      </c>
      <c r="X155" s="166" t="str">
        <f>IF(B155="","",IF(OR(AD155="SINKABLE",AD155="CALL/SINK"),_xll.BDP($B155,X$9,"fill=b","PRICING_SOURCE",$C$6,$AC155,$M$9,$M155,$N$9,$P155,$Q$10,$S155),_xll.BDP($B155,X$9,"fill=b","PRICING_SOURCE",$C$6,$AC155,$M$9,$M155,$N$9,$P155,$Q$9,$S155)))</f>
        <v/>
      </c>
      <c r="Y155" s="166" t="str">
        <f>IF(B155="","",IF(OR(AD155="SINKABLE",AD155="CALL/SINK"),_xll.BDP($B155,Y$9,"fill=b","PRICING_SOURCE",$C$6,$AC155,$M$9,$M155,$N$9,$P155,$Q$10,$S155),_xll.BDP($B155,Y$9,"fill=b","PRICING_SOURCE",$C$6,$AC155,$M$9,$M155,$N$9,$P155,$Q$9,$S155)))</f>
        <v/>
      </c>
      <c r="Z155" s="255" t="str">
        <f>IF(B155="","",IF(OR(AD155="SINKABLE",AD155="CALL/SINK"),_xll.BDP($B155,Z$9,"fill=b","PRICING_SOURCE",$C$6,$AC155,$M$9,$M155,$N$9,$P155,$Q$10,$S155),_xll.BDP($B155,Z$9,"fill=b","PRICING_SOURCE",$C$6,$AC155,$M$9,$M155,$N$9,$P155,$Q$9,$S155)))</f>
        <v/>
      </c>
      <c r="AA155" s="166" t="str">
        <f>IF(B155="","",IF(OR(AD155="SINKABLE",AD155="CALL/SINK"),_xll.BDP($B155,AA$9,"fill=b","PRICING_SOURCE",$C$6,$AC155,$M$9,$M155,$N$9,$P155,$Q$10,$S155),_xll.BDP($B155,AA$9,"fill=b","PRICING_SOURCE",$C$6,$AC155,$M$9,$M155,$N$9,$P155,$Q$9,$S155)))</f>
        <v/>
      </c>
      <c r="AB155" s="150" t="str">
        <f>IF(B155="","",IF(LEFT(_xll.BDP($B155,AB$9,"fill=b"),1)="#","-",_xll.BDP($B155,AB$9,"fill=b")))</f>
        <v/>
      </c>
      <c r="AC155" s="150" t="str">
        <f t="shared" si="47"/>
        <v>YLD FLAG=2</v>
      </c>
      <c r="AD155" s="150" t="str">
        <f>IF(B155="","",_xll.BDP($B155,AD$9,"fill=b"))</f>
        <v/>
      </c>
      <c r="AE155" s="256" t="str">
        <f>IF(B155="","",IF(ISERROR(_xll.BDH(B155,"PX LAST",AN155,AN155,"DAYS=ALL","PRICING SOURCE",$C$6)*1),_xll.BDP(B155,"PAR AMT"),_xll.BDH(B155,"PX LAST",AN155,AN155,"DAYS=ALL","PRICING SOURCE",$C$6)))</f>
        <v/>
      </c>
      <c r="AF155" s="150" t="str">
        <f>IF(B155="","",_xll.BDP($B155,AF$9,"fill=b"))</f>
        <v/>
      </c>
      <c r="AG155" s="150"/>
      <c r="AH155" s="190" t="str">
        <f>IF(B155="","",IF($AD155="AT MATURITY",$AB155*1,_xll.BADDPERIODS(_xll.BDP($B155,"issue dt"),"numberofperiods",TRUNC(_xll.BDP($B155,"YRS_TO_LONGEST_AVG_LIFE","YLD_YTM_BID",AF155,"SETTLE_DT",U155,AC155),0),"per=y")+(ROUND(MOD(_xll.BDP(B155,"YRS_TO_LONGEST_AVG_LIFE","YLD_YTM_BID",AF155,"SETTLE_DT",U155,AC155),1)*360,0))))</f>
        <v/>
      </c>
      <c r="AI155" s="150" t="str">
        <f t="array" ref="AI155">IF(B155="","",AF155-_xll.BInterpol(_xll.BDP(_xll.BDS("YCGT0372 Index","curve members","CURVE_DATE", $U155,"endcol=1","array=true"),"maturity")*1,_xll.BDH(_xll.BDS("YCGT0372 Index","curve members","CURVE_DATE", $U155,"endcol=1","array=true"),"yld cnv mid",$U155,$U155,"days=all"),AH155,"CUBIC","Extrapolate=LINEAR","SKIP=TRUE","SORT=TRUE","MultiX=Average"))</f>
        <v/>
      </c>
      <c r="AJ155" s="189" t="str">
        <f t="shared" si="43"/>
        <v/>
      </c>
      <c r="AK155" s="257" t="str">
        <f>IF(B155="","",_xll.BDP($B155,AK$9,"fill=b"))</f>
        <v/>
      </c>
      <c r="AL155" s="257" t="str">
        <f>IF(B155="","",_xll.BDP($B155,AL$9,"fill=b"))</f>
        <v/>
      </c>
      <c r="AM155" s="256" t="str">
        <f>IF(B155="","",_xll.BDP($B155,AM$9,"fill=b"))</f>
        <v/>
      </c>
      <c r="AN155" s="150" t="str">
        <f>IF(B155="","",_xll.BDP($B155,AN$9,"fill=b"))</f>
        <v/>
      </c>
      <c r="AO155" s="150" t="str">
        <f>IF(B155="","",IF(LEFT(_xll.BDP($B155,AO$9,"fill=b"),1)="#","-",_xll.BDP($B155,AO$9,"fill=b")))</f>
        <v/>
      </c>
      <c r="AP155" s="150" t="str">
        <f>IF(B155="","",_xll.BDP($B155,AP$9,"fill=b"))</f>
        <v/>
      </c>
      <c r="AQ155" s="150" t="str">
        <f>IF(B155="","",_xll.BDP($B155,AQ$9,"fill=b"))</f>
        <v/>
      </c>
      <c r="AR155" s="150" t="str">
        <f>IF(B155="","",_xll.BDP($B155,AR$9,"fill=b"))</f>
        <v/>
      </c>
      <c r="AS155" s="150" t="str">
        <f>IF(B155="","",_xll.BDP($B155,AS$9,"fill=b"))</f>
        <v/>
      </c>
      <c r="AT155" s="150" t="str">
        <f>IF(B155="","",_xll.BDP($B155,AT$9,"fill=b"))</f>
        <v/>
      </c>
      <c r="AU155" s="258" t="str">
        <f>IF(B155="","",_xll.BDP($B155,AU$9,"fill=b"))</f>
        <v/>
      </c>
    </row>
    <row r="156" spans="2:47" ht="15" x14ac:dyDescent="0.25">
      <c r="B156" s="232"/>
      <c r="C156" s="150" t="str">
        <f>IF(B156="","",_xll.BDP($B156,C$9,"fill=b"))</f>
        <v/>
      </c>
      <c r="D156" s="150" t="str">
        <f>IF(B156="","",_xll.BDP($B156,D$9,"fill=b"))</f>
        <v/>
      </c>
      <c r="E156" s="150" t="str">
        <f>IF(B156="","",_xll.BDP($B156,E$9,"fill=b"))</f>
        <v/>
      </c>
      <c r="F156" s="150" t="str">
        <f>IF(B156="","",IF(LEFT(_xll.BDP($B156,F$9,"fill=b"),1)="#","-",_xll.BDP($B156,F$9,"fill=b")))</f>
        <v/>
      </c>
      <c r="G156" s="150" t="str">
        <f>IF(B156="","",_xll.BDP($B156,G$9,"fill=b"))</f>
        <v/>
      </c>
      <c r="H156" s="150" t="str">
        <f>IF(B156="","",_xll.BDP($B156,H$9,"fill=b"))</f>
        <v/>
      </c>
      <c r="I156" s="150" t="str" cm="1">
        <f t="array" ref="I156">IF(LEFT(_xlfn.SINGLE(_xll.BDP(B156,"REFERENCE_INDEX")),1)="#",IF(LEFT(_xlfn.SINGLE(_xll.BDP(B156, "RESET_IDX"))&amp;" Index",1)="#","",_xlfn.SINGLE(_xll.BDP(B156, "RESET_IDX"))&amp;" Index"),_xll.BDP(B156,"REFERENCE_INDEX"))</f>
        <v/>
      </c>
      <c r="J156" s="150" t="str">
        <f>IF(I156="BZDIOVRA Index",IF(_xll.BDP(B156,"FLT_SPREAD")/100=0,_xll.BDP(B156,"FLT_BENCH_MULTIPLIER"),_xll.BDP(B156,"FLT_SPREAD")/100),"")</f>
        <v/>
      </c>
      <c r="K156" s="150" t="str">
        <f>IF(B156="","",IF(LEFT(_xll.BDP($B156,K$9,"fill=b"),1)="#","-",_xll.BDP($B156,K$9,"fill=b")))</f>
        <v/>
      </c>
      <c r="L156" s="233"/>
      <c r="M156" s="234" t="str">
        <f t="shared" si="48"/>
        <v/>
      </c>
      <c r="N156" s="252" t="str">
        <f>IF(B156="","",IF(R156="",IF(OR(AD156="SINKABLE",AD156="CALL/SINK"),_xll.BDP(B156,$N$9,$M$9,M156,"PRICING SOURCE",$C$6,"FILL=B"),_xll.BDP(B156,$N$9,$M$9,M156,"PRICING SOURCE",$C$6,"FILL=B")),IF(OR(AD156="SINKABLE",AD156="CALL/SINK"),_xll.BDP(B156,$N$9,$Q$10,S156,$M$9,M156,"PRICING SOURCE",$C$6,"FILL=B"),_xll.BDP(B156,$N$9,$Q$9,S156,$M$9,M156,"PRICING SOURCE",$C$6,"FILL=B"))))</f>
        <v/>
      </c>
      <c r="O156" s="235"/>
      <c r="P156" s="236" t="str">
        <f t="shared" si="45"/>
        <v/>
      </c>
      <c r="Q156" s="166" t="str" cm="1">
        <f t="array" ref="Q156">IF(ISERROR((_xlfn.SINGLE(IF(OR(AD156="SINKABLE",AD156="CALL/SINK"),_xll.BDP($B156,$Q$10,"fill=b","PRICING_SOURCE",$C$6,$AC156,$N$9,$P156,$M$9,$M156),_xll.BDP($B156,Q$9,"fill=b","PRICING_SOURCE",$C$6,$AC156,$N$9,$P156,$M$9,$M156))))*1),"",IF(OR(AD156="SINKABLE",AD156="CALL/SINK"),_xll.BDP($B156,$Q$10,"fill=b","PRICING_SOURCE",$C$6,$AC156,$N$9,$P156,$M$9,$M156),_xll.BDP($B156,Q$9,"fill=b","PRICING_SOURCE",$C$6,$AC156,$N$9,$P156,$M$9,$M156)))</f>
        <v/>
      </c>
      <c r="R156" s="237"/>
      <c r="S156" s="238" t="str">
        <f t="shared" si="46"/>
        <v/>
      </c>
      <c r="T156" s="239" t="str" cm="1">
        <f t="array" ref="T156">IF(ISERROR((_xlfn.SINGLE(IF(OR(AD156="SINKABLE",AD156="CALL/SINK"),_xll.BDP($B156,$Q$10,"fill=b","PRICING_SOURCE",$C$6,$AC156,$M$9,$U156,"px ask",$AE156),_xll.BDP($B156,Q$9,"fill=b","PRICING_SOURCE",$C$6,$AC156,$M$9,$U156,"px ask",$AE156))))*1),"",IF(OR(AD156="SINKABLE",AD156="CALL/SINK"),_xll.BDP($B156,$Q$10,"fill=b","PRICING_SOURCE",$C$6,$AC156,$M$9,$U156,"px ask",$AE156),_xll.BDP($B156,Q$9,"fill=b","PRICING_SOURCE",$C$6,$AC156,$M$9,$U156,"px ask",$AE156)))</f>
        <v/>
      </c>
      <c r="U156" s="240" t="str">
        <f t="shared" si="41"/>
        <v/>
      </c>
      <c r="V156" s="254" t="str">
        <f>IF(B156="","",IF(I156="BZDIOVRA Index",IF(OR(AD156="SINKABLE",AD156="CALL/SINK"),_xll.BDP($B156,"PX_ASK",$Q$10,J156,$M$9,M156),_xll.BDP($B156,"PX_"&amp;$H$7,$Q$9,J156,$M$9,M156)),_xll.BDP($B156,"PX_"&amp;$H$7,$Q$9,_xll.BDP(B156,"CPN"),$M$9,M156)))</f>
        <v/>
      </c>
      <c r="W156" s="254" t="str">
        <f t="shared" si="42"/>
        <v/>
      </c>
      <c r="X156" s="166" t="str">
        <f>IF(B156="","",IF(OR(AD156="SINKABLE",AD156="CALL/SINK"),_xll.BDP($B156,X$9,"fill=b","PRICING_SOURCE",$C$6,$AC156,$M$9,$M156,$N$9,$P156,$Q$10,$S156),_xll.BDP($B156,X$9,"fill=b","PRICING_SOURCE",$C$6,$AC156,$M$9,$M156,$N$9,$P156,$Q$9,$S156)))</f>
        <v/>
      </c>
      <c r="Y156" s="166" t="str">
        <f>IF(B156="","",IF(OR(AD156="SINKABLE",AD156="CALL/SINK"),_xll.BDP($B156,Y$9,"fill=b","PRICING_SOURCE",$C$6,$AC156,$M$9,$M156,$N$9,$P156,$Q$10,$S156),_xll.BDP($B156,Y$9,"fill=b","PRICING_SOURCE",$C$6,$AC156,$M$9,$M156,$N$9,$P156,$Q$9,$S156)))</f>
        <v/>
      </c>
      <c r="Z156" s="255" t="str">
        <f>IF(B156="","",IF(OR(AD156="SINKABLE",AD156="CALL/SINK"),_xll.BDP($B156,Z$9,"fill=b","PRICING_SOURCE",$C$6,$AC156,$M$9,$M156,$N$9,$P156,$Q$10,$S156),_xll.BDP($B156,Z$9,"fill=b","PRICING_SOURCE",$C$6,$AC156,$M$9,$M156,$N$9,$P156,$Q$9,$S156)))</f>
        <v/>
      </c>
      <c r="AA156" s="166" t="str">
        <f>IF(B156="","",IF(OR(AD156="SINKABLE",AD156="CALL/SINK"),_xll.BDP($B156,AA$9,"fill=b","PRICING_SOURCE",$C$6,$AC156,$M$9,$M156,$N$9,$P156,$Q$10,$S156),_xll.BDP($B156,AA$9,"fill=b","PRICING_SOURCE",$C$6,$AC156,$M$9,$M156,$N$9,$P156,$Q$9,$S156)))</f>
        <v/>
      </c>
      <c r="AB156" s="150" t="str">
        <f>IF(B156="","",IF(LEFT(_xll.BDP($B156,AB$9,"fill=b"),1)="#","-",_xll.BDP($B156,AB$9,"fill=b")))</f>
        <v/>
      </c>
      <c r="AC156" s="150" t="str">
        <f t="shared" si="47"/>
        <v>YLD FLAG=2</v>
      </c>
      <c r="AD156" s="150" t="str">
        <f>IF(B156="","",_xll.BDP($B156,AD$9,"fill=b"))</f>
        <v/>
      </c>
      <c r="AE156" s="256" t="str">
        <f>IF(B156="","",IF(ISERROR(_xll.BDH(B156,"PX LAST",AN156,AN156,"DAYS=ALL","PRICING SOURCE",$C$6)*1),_xll.BDP(B156,"PAR AMT"),_xll.BDH(B156,"PX LAST",AN156,AN156,"DAYS=ALL","PRICING SOURCE",$C$6)))</f>
        <v/>
      </c>
      <c r="AF156" s="150" t="str">
        <f>IF(B156="","",_xll.BDP($B156,AF$9,"fill=b"))</f>
        <v/>
      </c>
      <c r="AG156" s="150"/>
      <c r="AH156" s="190" t="str">
        <f>IF(B156="","",IF($AD156="AT MATURITY",$AB156*1,_xll.BADDPERIODS(_xll.BDP($B156,"issue dt"),"numberofperiods",TRUNC(_xll.BDP($B156,"YRS_TO_LONGEST_AVG_LIFE","YLD_YTM_BID",AF156,"SETTLE_DT",U156,AC156),0),"per=y")+(ROUND(MOD(_xll.BDP(B156,"YRS_TO_LONGEST_AVG_LIFE","YLD_YTM_BID",AF156,"SETTLE_DT",U156,AC156),1)*360,0))))</f>
        <v/>
      </c>
      <c r="AI156" s="150" t="str">
        <f t="array" ref="AI156">IF(B156="","",AF156-_xll.BInterpol(_xll.BDP(_xll.BDS("YCGT0372 Index","curve members","CURVE_DATE", $U156,"endcol=1","array=true"),"maturity")*1,_xll.BDH(_xll.BDS("YCGT0372 Index","curve members","CURVE_DATE", $U156,"endcol=1","array=true"),"yld cnv mid",$U156,$U156,"days=all"),AH156,"CUBIC","Extrapolate=LINEAR","SKIP=TRUE","SORT=TRUE","MultiX=Average"))</f>
        <v/>
      </c>
      <c r="AJ156" s="189" t="str">
        <f t="shared" si="43"/>
        <v/>
      </c>
      <c r="AK156" s="257" t="str">
        <f>IF(B156="","",_xll.BDP($B156,AK$9,"fill=b"))</f>
        <v/>
      </c>
      <c r="AL156" s="257" t="str">
        <f>IF(B156="","",_xll.BDP($B156,AL$9,"fill=b"))</f>
        <v/>
      </c>
      <c r="AM156" s="256" t="str">
        <f>IF(B156="","",_xll.BDP($B156,AM$9,"fill=b"))</f>
        <v/>
      </c>
      <c r="AN156" s="150" t="str">
        <f>IF(B156="","",_xll.BDP($B156,AN$9,"fill=b"))</f>
        <v/>
      </c>
      <c r="AO156" s="150" t="str">
        <f>IF(B156="","",IF(LEFT(_xll.BDP($B156,AO$9,"fill=b"),1)="#","-",_xll.BDP($B156,AO$9,"fill=b")))</f>
        <v/>
      </c>
      <c r="AP156" s="150" t="str">
        <f>IF(B156="","",_xll.BDP($B156,AP$9,"fill=b"))</f>
        <v/>
      </c>
      <c r="AQ156" s="150" t="str">
        <f>IF(B156="","",_xll.BDP($B156,AQ$9,"fill=b"))</f>
        <v/>
      </c>
      <c r="AR156" s="150" t="str">
        <f>IF(B156="","",_xll.BDP($B156,AR$9,"fill=b"))</f>
        <v/>
      </c>
      <c r="AS156" s="150" t="str">
        <f>IF(B156="","",_xll.BDP($B156,AS$9,"fill=b"))</f>
        <v/>
      </c>
      <c r="AT156" s="150" t="str">
        <f>IF(B156="","",_xll.BDP($B156,AT$9,"fill=b"))</f>
        <v/>
      </c>
      <c r="AU156" s="258" t="str">
        <f>IF(B156="","",_xll.BDP($B156,AU$9,"fill=b"))</f>
        <v/>
      </c>
    </row>
    <row r="157" spans="2:47" ht="15" x14ac:dyDescent="0.25">
      <c r="B157" s="232"/>
      <c r="C157" s="150" t="str">
        <f>IF(B157="","",_xll.BDP($B157,C$9,"fill=b"))</f>
        <v/>
      </c>
      <c r="D157" s="150" t="str">
        <f>IF(B157="","",_xll.BDP($B157,D$9,"fill=b"))</f>
        <v/>
      </c>
      <c r="E157" s="150" t="str">
        <f>IF(B157="","",_xll.BDP($B157,E$9,"fill=b"))</f>
        <v/>
      </c>
      <c r="F157" s="150" t="str">
        <f>IF(B157="","",IF(LEFT(_xll.BDP($B157,F$9,"fill=b"),1)="#","-",_xll.BDP($B157,F$9,"fill=b")))</f>
        <v/>
      </c>
      <c r="G157" s="150" t="str">
        <f>IF(B157="","",_xll.BDP($B157,G$9,"fill=b"))</f>
        <v/>
      </c>
      <c r="H157" s="150" t="str">
        <f>IF(B157="","",_xll.BDP($B157,H$9,"fill=b"))</f>
        <v/>
      </c>
      <c r="I157" s="150" t="str" cm="1">
        <f t="array" ref="I157">IF(LEFT(_xlfn.SINGLE(_xll.BDP(B157,"REFERENCE_INDEX")),1)="#",IF(LEFT(_xlfn.SINGLE(_xll.BDP(B157, "RESET_IDX"))&amp;" Index",1)="#","",_xlfn.SINGLE(_xll.BDP(B157, "RESET_IDX"))&amp;" Index"),_xll.BDP(B157,"REFERENCE_INDEX"))</f>
        <v/>
      </c>
      <c r="J157" s="150" t="str">
        <f>IF(I157="BZDIOVRA Index",IF(_xll.BDP(B157,"FLT_SPREAD")/100=0,_xll.BDP(B157,"FLT_BENCH_MULTIPLIER"),_xll.BDP(B157,"FLT_SPREAD")/100),"")</f>
        <v/>
      </c>
      <c r="K157" s="150" t="str">
        <f>IF(B157="","",IF(LEFT(_xll.BDP($B157,K$9,"fill=b"),1)="#","-",_xll.BDP($B157,K$9,"fill=b")))</f>
        <v/>
      </c>
      <c r="L157" s="233"/>
      <c r="M157" s="234" t="str">
        <f t="shared" si="48"/>
        <v/>
      </c>
      <c r="N157" s="252" t="str">
        <f>IF(B157="","",IF(R157="",IF(OR(AD157="SINKABLE",AD157="CALL/SINK"),_xll.BDP(B157,$N$9,$M$9,M157,"PRICING SOURCE",$C$6,"FILL=B"),_xll.BDP(B157,$N$9,$M$9,M157,"PRICING SOURCE",$C$6,"FILL=B")),IF(OR(AD157="SINKABLE",AD157="CALL/SINK"),_xll.BDP(B157,$N$9,$Q$10,S157,$M$9,M157,"PRICING SOURCE",$C$6,"FILL=B"),_xll.BDP(B157,$N$9,$Q$9,S157,$M$9,M157,"PRICING SOURCE",$C$6,"FILL=B"))))</f>
        <v/>
      </c>
      <c r="O157" s="235"/>
      <c r="P157" s="236" t="str">
        <f t="shared" si="45"/>
        <v/>
      </c>
      <c r="Q157" s="166" t="str" cm="1">
        <f t="array" ref="Q157">IF(ISERROR((_xlfn.SINGLE(IF(OR(AD157="SINKABLE",AD157="CALL/SINK"),_xll.BDP($B157,$Q$10,"fill=b","PRICING_SOURCE",$C$6,$AC157,$N$9,$P157,$M$9,$M157),_xll.BDP($B157,Q$9,"fill=b","PRICING_SOURCE",$C$6,$AC157,$N$9,$P157,$M$9,$M157))))*1),"",IF(OR(AD157="SINKABLE",AD157="CALL/SINK"),_xll.BDP($B157,$Q$10,"fill=b","PRICING_SOURCE",$C$6,$AC157,$N$9,$P157,$M$9,$M157),_xll.BDP($B157,Q$9,"fill=b","PRICING_SOURCE",$C$6,$AC157,$N$9,$P157,$M$9,$M157)))</f>
        <v/>
      </c>
      <c r="R157" s="237"/>
      <c r="S157" s="238" t="str">
        <f t="shared" si="46"/>
        <v/>
      </c>
      <c r="T157" s="239" t="str" cm="1">
        <f t="array" ref="T157">IF(ISERROR((_xlfn.SINGLE(IF(OR(AD157="SINKABLE",AD157="CALL/SINK"),_xll.BDP($B157,$Q$10,"fill=b","PRICING_SOURCE",$C$6,$AC157,$M$9,$U157,"px ask",$AE157),_xll.BDP($B157,Q$9,"fill=b","PRICING_SOURCE",$C$6,$AC157,$M$9,$U157,"px ask",$AE157))))*1),"",IF(OR(AD157="SINKABLE",AD157="CALL/SINK"),_xll.BDP($B157,$Q$10,"fill=b","PRICING_SOURCE",$C$6,$AC157,$M$9,$U157,"px ask",$AE157),_xll.BDP($B157,Q$9,"fill=b","PRICING_SOURCE",$C$6,$AC157,$M$9,$U157,"px ask",$AE157)))</f>
        <v/>
      </c>
      <c r="U157" s="240" t="str">
        <f t="shared" si="41"/>
        <v/>
      </c>
      <c r="V157" s="254" t="str">
        <f>IF(B157="","",IF(I157="BZDIOVRA Index",IF(OR(AD157="SINKABLE",AD157="CALL/SINK"),_xll.BDP($B157,"PX_ASK",$Q$10,J157,$M$9,M157),_xll.BDP($B157,"PX_"&amp;$H$7,$Q$9,J157,$M$9,M157)),_xll.BDP($B157,"PX_"&amp;$H$7,$Q$9,_xll.BDP(B157,"CPN"),$M$9,M157)))</f>
        <v/>
      </c>
      <c r="W157" s="254" t="str">
        <f t="shared" si="42"/>
        <v/>
      </c>
      <c r="X157" s="166" t="str">
        <f>IF(B157="","",IF(OR(AD157="SINKABLE",AD157="CALL/SINK"),_xll.BDP($B157,X$9,"fill=b","PRICING_SOURCE",$C$6,$AC157,$M$9,$M157,$N$9,$P157,$Q$10,$S157),_xll.BDP($B157,X$9,"fill=b","PRICING_SOURCE",$C$6,$AC157,$M$9,$M157,$N$9,$P157,$Q$9,$S157)))</f>
        <v/>
      </c>
      <c r="Y157" s="166" t="str">
        <f>IF(B157="","",IF(OR(AD157="SINKABLE",AD157="CALL/SINK"),_xll.BDP($B157,Y$9,"fill=b","PRICING_SOURCE",$C$6,$AC157,$M$9,$M157,$N$9,$P157,$Q$10,$S157),_xll.BDP($B157,Y$9,"fill=b","PRICING_SOURCE",$C$6,$AC157,$M$9,$M157,$N$9,$P157,$Q$9,$S157)))</f>
        <v/>
      </c>
      <c r="Z157" s="255" t="str">
        <f>IF(B157="","",IF(OR(AD157="SINKABLE",AD157="CALL/SINK"),_xll.BDP($B157,Z$9,"fill=b","PRICING_SOURCE",$C$6,$AC157,$M$9,$M157,$N$9,$P157,$Q$10,$S157),_xll.BDP($B157,Z$9,"fill=b","PRICING_SOURCE",$C$6,$AC157,$M$9,$M157,$N$9,$P157,$Q$9,$S157)))</f>
        <v/>
      </c>
      <c r="AA157" s="166" t="str">
        <f>IF(B157="","",IF(OR(AD157="SINKABLE",AD157="CALL/SINK"),_xll.BDP($B157,AA$9,"fill=b","PRICING_SOURCE",$C$6,$AC157,$M$9,$M157,$N$9,$P157,$Q$10,$S157),_xll.BDP($B157,AA$9,"fill=b","PRICING_SOURCE",$C$6,$AC157,$M$9,$M157,$N$9,$P157,$Q$9,$S157)))</f>
        <v/>
      </c>
      <c r="AB157" s="150" t="str">
        <f>IF(B157="","",IF(LEFT(_xll.BDP($B157,AB$9,"fill=b"),1)="#","-",_xll.BDP($B157,AB$9,"fill=b")))</f>
        <v/>
      </c>
      <c r="AC157" s="150" t="str">
        <f t="shared" si="47"/>
        <v>YLD FLAG=2</v>
      </c>
      <c r="AD157" s="150" t="str">
        <f>IF(B157="","",_xll.BDP($B157,AD$9,"fill=b"))</f>
        <v/>
      </c>
      <c r="AE157" s="256" t="str">
        <f>IF(B157="","",IF(ISERROR(_xll.BDH(B157,"PX LAST",AN157,AN157,"DAYS=ALL","PRICING SOURCE",$C$6)*1),_xll.BDP(B157,"PAR AMT"),_xll.BDH(B157,"PX LAST",AN157,AN157,"DAYS=ALL","PRICING SOURCE",$C$6)))</f>
        <v/>
      </c>
      <c r="AF157" s="150" t="str">
        <f>IF(B157="","",_xll.BDP($B157,AF$9,"fill=b"))</f>
        <v/>
      </c>
      <c r="AG157" s="150"/>
      <c r="AH157" s="190" t="str">
        <f>IF(B157="","",IF($AD157="AT MATURITY",$AB157*1,_xll.BADDPERIODS(_xll.BDP($B157,"issue dt"),"numberofperiods",TRUNC(_xll.BDP($B157,"YRS_TO_LONGEST_AVG_LIFE","YLD_YTM_BID",AF157,"SETTLE_DT",U157,AC157),0),"per=y")+(ROUND(MOD(_xll.BDP(B157,"YRS_TO_LONGEST_AVG_LIFE","YLD_YTM_BID",AF157,"SETTLE_DT",U157,AC157),1)*360,0))))</f>
        <v/>
      </c>
      <c r="AI157" s="150" t="str">
        <f t="array" ref="AI157">IF(B157="","",AF157-_xll.BInterpol(_xll.BDP(_xll.BDS("YCGT0372 Index","curve members","CURVE_DATE", $U157,"endcol=1","array=true"),"maturity")*1,_xll.BDH(_xll.BDS("YCGT0372 Index","curve members","CURVE_DATE", $U157,"endcol=1","array=true"),"yld cnv mid",$U157,$U157,"days=all"),AH157,"CUBIC","Extrapolate=LINEAR","SKIP=TRUE","SORT=TRUE","MultiX=Average"))</f>
        <v/>
      </c>
      <c r="AJ157" s="189" t="str">
        <f t="shared" si="43"/>
        <v/>
      </c>
      <c r="AK157" s="257" t="str">
        <f>IF(B157="","",_xll.BDP($B157,AK$9,"fill=b"))</f>
        <v/>
      </c>
      <c r="AL157" s="257" t="str">
        <f>IF(B157="","",_xll.BDP($B157,AL$9,"fill=b"))</f>
        <v/>
      </c>
      <c r="AM157" s="256" t="str">
        <f>IF(B157="","",_xll.BDP($B157,AM$9,"fill=b"))</f>
        <v/>
      </c>
      <c r="AN157" s="150" t="str">
        <f>IF(B157="","",_xll.BDP($B157,AN$9,"fill=b"))</f>
        <v/>
      </c>
      <c r="AO157" s="150" t="str">
        <f>IF(B157="","",IF(LEFT(_xll.BDP($B157,AO$9,"fill=b"),1)="#","-",_xll.BDP($B157,AO$9,"fill=b")))</f>
        <v/>
      </c>
      <c r="AP157" s="150" t="str">
        <f>IF(B157="","",_xll.BDP($B157,AP$9,"fill=b"))</f>
        <v/>
      </c>
      <c r="AQ157" s="150" t="str">
        <f>IF(B157="","",_xll.BDP($B157,AQ$9,"fill=b"))</f>
        <v/>
      </c>
      <c r="AR157" s="150" t="str">
        <f>IF(B157="","",_xll.BDP($B157,AR$9,"fill=b"))</f>
        <v/>
      </c>
      <c r="AS157" s="150" t="str">
        <f>IF(B157="","",_xll.BDP($B157,AS$9,"fill=b"))</f>
        <v/>
      </c>
      <c r="AT157" s="150" t="str">
        <f>IF(B157="","",_xll.BDP($B157,AT$9,"fill=b"))</f>
        <v/>
      </c>
      <c r="AU157" s="258" t="str">
        <f>IF(B157="","",_xll.BDP($B157,AU$9,"fill=b"))</f>
        <v/>
      </c>
    </row>
    <row r="158" spans="2:47" ht="15" x14ac:dyDescent="0.25">
      <c r="B158" s="232"/>
      <c r="C158" s="150" t="str">
        <f>IF(B158="","",_xll.BDP($B158,C$9,"fill=b"))</f>
        <v/>
      </c>
      <c r="D158" s="150" t="str">
        <f>IF(B158="","",_xll.BDP($B158,D$9,"fill=b"))</f>
        <v/>
      </c>
      <c r="E158" s="150" t="str">
        <f>IF(B158="","",_xll.BDP($B158,E$9,"fill=b"))</f>
        <v/>
      </c>
      <c r="F158" s="150" t="str">
        <f>IF(B158="","",IF(LEFT(_xll.BDP($B158,F$9,"fill=b"),1)="#","-",_xll.BDP($B158,F$9,"fill=b")))</f>
        <v/>
      </c>
      <c r="G158" s="150" t="str">
        <f>IF(B158="","",_xll.BDP($B158,G$9,"fill=b"))</f>
        <v/>
      </c>
      <c r="H158" s="150" t="str">
        <f>IF(B158="","",_xll.BDP($B158,H$9,"fill=b"))</f>
        <v/>
      </c>
      <c r="I158" s="150" t="str" cm="1">
        <f t="array" ref="I158">IF(LEFT(_xlfn.SINGLE(_xll.BDP(B158,"REFERENCE_INDEX")),1)="#",IF(LEFT(_xlfn.SINGLE(_xll.BDP(B158, "RESET_IDX"))&amp;" Index",1)="#","",_xlfn.SINGLE(_xll.BDP(B158, "RESET_IDX"))&amp;" Index"),_xll.BDP(B158,"REFERENCE_INDEX"))</f>
        <v/>
      </c>
      <c r="J158" s="150" t="str">
        <f>IF(I158="BZDIOVRA Index",IF(_xll.BDP(B158,"FLT_SPREAD")/100=0,_xll.BDP(B158,"FLT_BENCH_MULTIPLIER"),_xll.BDP(B158,"FLT_SPREAD")/100),"")</f>
        <v/>
      </c>
      <c r="K158" s="150" t="str">
        <f>IF(B158="","",IF(LEFT(_xll.BDP($B158,K$9,"fill=b"),1)="#","-",_xll.BDP($B158,K$9,"fill=b")))</f>
        <v/>
      </c>
      <c r="L158" s="233"/>
      <c r="M158" s="234" t="str">
        <f t="shared" si="48"/>
        <v/>
      </c>
      <c r="N158" s="252" t="str">
        <f>IF(B158="","",IF(R158="",IF(OR(AD158="SINKABLE",AD158="CALL/SINK"),_xll.BDP(B158,$N$9,$M$9,M158,"PRICING SOURCE",$C$6,"FILL=B"),_xll.BDP(B158,$N$9,$M$9,M158,"PRICING SOURCE",$C$6,"FILL=B")),IF(OR(AD158="SINKABLE",AD158="CALL/SINK"),_xll.BDP(B158,$N$9,$Q$10,S158,$M$9,M158,"PRICING SOURCE",$C$6,"FILL=B"),_xll.BDP(B158,$N$9,$Q$9,S158,$M$9,M158,"PRICING SOURCE",$C$6,"FILL=B"))))</f>
        <v/>
      </c>
      <c r="O158" s="235"/>
      <c r="P158" s="236" t="str">
        <f>IF(O158="",N158,O158)</f>
        <v/>
      </c>
      <c r="Q158" s="166" t="str" cm="1">
        <f t="array" ref="Q158">IF(ISERROR((_xlfn.SINGLE(IF(OR(AD158="SINKABLE",AD158="CALL/SINK"),_xll.BDP($B158,$Q$10,"fill=b","PRICING_SOURCE",$C$6,$AC158,$N$9,$P158,$M$9,$M158),_xll.BDP($B158,Q$9,"fill=b","PRICING_SOURCE",$C$6,$AC158,$N$9,$P158,$M$9,$M158))))*1),"",IF(OR(AD158="SINKABLE",AD158="CALL/SINK"),_xll.BDP($B158,$Q$10,"fill=b","PRICING_SOURCE",$C$6,$AC158,$N$9,$P158,$M$9,$M158),_xll.BDP($B158,Q$9,"fill=b","PRICING_SOURCE",$C$6,$AC158,$N$9,$P158,$M$9,$M158)))</f>
        <v/>
      </c>
      <c r="R158" s="237"/>
      <c r="S158" s="238" t="str">
        <f>IF(R158="",Q158,R158)</f>
        <v/>
      </c>
      <c r="T158" s="239" t="str" cm="1">
        <f t="array" ref="T158">IF(ISERROR((_xlfn.SINGLE(IF(OR(AD158="SINKABLE",AD158="CALL/SINK"),_xll.BDP($B158,$Q$10,"fill=b","PRICING_SOURCE",$C$6,$AC158,$M$9,$U158,"px ask",$AE158),_xll.BDP($B158,Q$9,"fill=b","PRICING_SOURCE",$C$6,$AC158,$M$9,$U158,"px ask",$AE158))))*1),"",IF(OR(AD158="SINKABLE",AD158="CALL/SINK"),_xll.BDP($B158,$Q$10,"fill=b","PRICING_SOURCE",$C$6,$AC158,$M$9,$U158,"px ask",$AE158),_xll.BDP($B158,Q$9,"fill=b","PRICING_SOURCE",$C$6,$AC158,$M$9,$U158,"px ask",$AE158)))</f>
        <v/>
      </c>
      <c r="U158" s="240" t="str">
        <f t="shared" si="41"/>
        <v/>
      </c>
      <c r="V158" s="254" t="str">
        <f>IF(B158="","",IF(I158="BZDIOVRA Index",IF(OR(AD158="SINKABLE",AD158="CALL/SINK"),_xll.BDP($B158,"PX_ASK",$Q$10,J158,$M$9,M158),_xll.BDP($B158,"PX_"&amp;$H$7,$Q$9,J158,$M$9,M158)),_xll.BDP($B158,"PX_"&amp;$H$7,$Q$9,_xll.BDP(B158,"CPN"),$M$9,M158)))</f>
        <v/>
      </c>
      <c r="W158" s="254" t="str">
        <f t="shared" si="42"/>
        <v/>
      </c>
      <c r="X158" s="166" t="str">
        <f>IF(B158="","",IF(OR(AD158="SINKABLE",AD158="CALL/SINK"),_xll.BDP($B158,X$9,"fill=b","PRICING_SOURCE",$C$6,$AC158,$M$9,$M158,$N$9,$P158,$Q$10,$S158),_xll.BDP($B158,X$9,"fill=b","PRICING_SOURCE",$C$6,$AC158,$M$9,$M158,$N$9,$P158,$Q$9,$S158)))</f>
        <v/>
      </c>
      <c r="Y158" s="166" t="str">
        <f>IF(B158="","",IF(OR(AD158="SINKABLE",AD158="CALL/SINK"),_xll.BDP($B158,Y$9,"fill=b","PRICING_SOURCE",$C$6,$AC158,$M$9,$M158,$N$9,$P158,$Q$10,$S158),_xll.BDP($B158,Y$9,"fill=b","PRICING_SOURCE",$C$6,$AC158,$M$9,$M158,$N$9,$P158,$Q$9,$S158)))</f>
        <v/>
      </c>
      <c r="Z158" s="255" t="str">
        <f>IF(B158="","",IF(OR(AD158="SINKABLE",AD158="CALL/SINK"),_xll.BDP($B158,Z$9,"fill=b","PRICING_SOURCE",$C$6,$AC158,$M$9,$M158,$N$9,$P158,$Q$10,$S158),_xll.BDP($B158,Z$9,"fill=b","PRICING_SOURCE",$C$6,$AC158,$M$9,$M158,$N$9,$P158,$Q$9,$S158)))</f>
        <v/>
      </c>
      <c r="AA158" s="166" t="str">
        <f>IF(B158="","",IF(OR(AD158="SINKABLE",AD158="CALL/SINK"),_xll.BDP($B158,AA$9,"fill=b","PRICING_SOURCE",$C$6,$AC158,$M$9,$M158,$N$9,$P158,$Q$10,$S158),_xll.BDP($B158,AA$9,"fill=b","PRICING_SOURCE",$C$6,$AC158,$M$9,$M158,$N$9,$P158,$Q$9,$S158)))</f>
        <v/>
      </c>
      <c r="AB158" s="150" t="str">
        <f>IF(B158="","",IF(LEFT(_xll.BDP($B158,AB$9,"fill=b"),1)="#","-",_xll.BDP($B158,AB$9,"fill=b")))</f>
        <v/>
      </c>
      <c r="AC158" s="150" t="str">
        <f>IF(OR(AD158="SINKABLE",AD158="CALL/SINK"),"YLD FLAG=28",IF(OR(AD158="AT MATURITY",AD158="CALLABLE"),"YLD FLAG=1","YLD FLAG=2"))</f>
        <v>YLD FLAG=2</v>
      </c>
      <c r="AD158" s="150" t="str">
        <f>IF(B158="","",_xll.BDP($B158,AD$9,"fill=b"))</f>
        <v/>
      </c>
      <c r="AE158" s="256" t="str">
        <f>IF(B158="","",IF(ISERROR(_xll.BDH(B158,"PX LAST",AN158,AN158,"DAYS=ALL","PRICING SOURCE",$C$6)*1),_xll.BDP(B158,"PAR AMT"),_xll.BDH(B158,"PX LAST",AN158,AN158,"DAYS=ALL","PRICING SOURCE",$C$6)))</f>
        <v/>
      </c>
      <c r="AF158" s="150" t="str">
        <f>IF(B158="","",_xll.BDP($B158,AF$9,"fill=b"))</f>
        <v/>
      </c>
      <c r="AG158" s="150"/>
      <c r="AH158" s="190" t="str">
        <f>IF(B158="","",IF($AD158="AT MATURITY",$AB158*1,_xll.BADDPERIODS(_xll.BDP($B158,"issue dt"),"numberofperiods",TRUNC(_xll.BDP($B158,"YRS_TO_LONGEST_AVG_LIFE","YLD_YTM_BID",AF158,"SETTLE_DT",U158,AC158),0),"per=y")+(ROUND(MOD(_xll.BDP(B158,"YRS_TO_LONGEST_AVG_LIFE","YLD_YTM_BID",AF158,"SETTLE_DT",U158,AC158),1)*360,0))))</f>
        <v/>
      </c>
      <c r="AI158" s="150" t="str">
        <f t="array" ref="AI158">IF(B158="","",AF158-_xll.BInterpol(_xll.BDP(_xll.BDS("YCGT0372 Index","curve members","CURVE_DATE", $U158,"endcol=1","array=true"),"maturity")*1,_xll.BDH(_xll.BDS("YCGT0372 Index","curve members","CURVE_DATE", $U158,"endcol=1","array=true"),"yld cnv mid",$U158,$U158,"days=all"),AH158,"CUBIC","Extrapolate=LINEAR","SKIP=TRUE","SORT=TRUE","MultiX=Average"))</f>
        <v/>
      </c>
      <c r="AJ158" s="189" t="str">
        <f t="shared" si="43"/>
        <v/>
      </c>
      <c r="AK158" s="257" t="str">
        <f>IF(B158="","",_xll.BDP($B158,AK$9,"fill=b"))</f>
        <v/>
      </c>
      <c r="AL158" s="257" t="str">
        <f>IF(B158="","",_xll.BDP($B158,AL$9,"fill=b"))</f>
        <v/>
      </c>
      <c r="AM158" s="256" t="str">
        <f>IF(B158="","",_xll.BDP($B158,AM$9,"fill=b"))</f>
        <v/>
      </c>
      <c r="AN158" s="150" t="str">
        <f>IF(B158="","",_xll.BDP($B158,AN$9,"fill=b"))</f>
        <v/>
      </c>
      <c r="AO158" s="150" t="str">
        <f>IF(B158="","",IF(LEFT(_xll.BDP($B158,AO$9,"fill=b"),1)="#","-",_xll.BDP($B158,AO$9,"fill=b")))</f>
        <v/>
      </c>
      <c r="AP158" s="150" t="str">
        <f>IF(B158="","",_xll.BDP($B158,AP$9,"fill=b"))</f>
        <v/>
      </c>
      <c r="AQ158" s="150" t="str">
        <f>IF(B158="","",_xll.BDP($B158,AQ$9,"fill=b"))</f>
        <v/>
      </c>
      <c r="AR158" s="150" t="str">
        <f>IF(B158="","",_xll.BDP($B158,AR$9,"fill=b"))</f>
        <v/>
      </c>
      <c r="AS158" s="150" t="str">
        <f>IF(B158="","",_xll.BDP($B158,AS$9,"fill=b"))</f>
        <v/>
      </c>
      <c r="AT158" s="150" t="str">
        <f>IF(B158="","",_xll.BDP($B158,AT$9,"fill=b"))</f>
        <v/>
      </c>
      <c r="AU158" s="258" t="str">
        <f>IF(B158="","",_xll.BDP($B158,AU$9,"fill=b"))</f>
        <v/>
      </c>
    </row>
    <row r="159" spans="2:47" ht="15" x14ac:dyDescent="0.25">
      <c r="B159" s="232"/>
      <c r="C159" s="150" t="str">
        <f>IF(B159="","",_xll.BDP($B159,C$9,"fill=b"))</f>
        <v/>
      </c>
      <c r="D159" s="150" t="str">
        <f>IF(B159="","",_xll.BDP($B159,D$9,"fill=b"))</f>
        <v/>
      </c>
      <c r="E159" s="150" t="str">
        <f>IF(B159="","",_xll.BDP($B159,E$9,"fill=b"))</f>
        <v/>
      </c>
      <c r="F159" s="150" t="str">
        <f>IF(B159="","",IF(LEFT(_xll.BDP($B159,F$9,"fill=b"),1)="#","-",_xll.BDP($B159,F$9,"fill=b")))</f>
        <v/>
      </c>
      <c r="G159" s="150" t="str">
        <f>IF(B159="","",_xll.BDP($B159,G$9,"fill=b"))</f>
        <v/>
      </c>
      <c r="H159" s="150" t="str">
        <f>IF(B159="","",_xll.BDP($B159,H$9,"fill=b"))</f>
        <v/>
      </c>
      <c r="I159" s="150" t="str" cm="1">
        <f t="array" ref="I159">IF(LEFT(_xlfn.SINGLE(_xll.BDP(B159,"REFERENCE_INDEX")),1)="#",IF(LEFT(_xlfn.SINGLE(_xll.BDP(B159, "RESET_IDX"))&amp;" Index",1)="#","",_xlfn.SINGLE(_xll.BDP(B159, "RESET_IDX"))&amp;" Index"),_xll.BDP(B159,"REFERENCE_INDEX"))</f>
        <v/>
      </c>
      <c r="J159" s="150" t="str">
        <f>IF(I159="BZDIOVRA Index",IF(_xll.BDP(B159,"FLT_SPREAD")/100=0,_xll.BDP(B159,"FLT_BENCH_MULTIPLIER"),_xll.BDP(B159,"FLT_SPREAD")/100),"")</f>
        <v/>
      </c>
      <c r="K159" s="150" t="str">
        <f>IF(B159="","",IF(LEFT(_xll.BDP($B159,K$9,"fill=b"),1)="#","-",_xll.BDP($B159,K$9,"fill=b")))</f>
        <v/>
      </c>
      <c r="L159" s="233"/>
      <c r="M159" s="234" t="str">
        <f t="shared" si="48"/>
        <v/>
      </c>
      <c r="N159" s="252" t="str">
        <f>IF(B159="","",IF(R159="",IF(OR(AD159="SINKABLE",AD159="CALL/SINK"),_xll.BDP(B159,$N$9,$M$9,M159,"PRICING SOURCE",$C$6,"FILL=B"),_xll.BDP(B159,$N$9,$M$9,M159,"PRICING SOURCE",$C$6,"FILL=B")),IF(OR(AD159="SINKABLE",AD159="CALL/SINK"),_xll.BDP(B159,$N$9,$Q$10,S159,$M$9,M159,"PRICING SOURCE",$C$6,"FILL=B"),_xll.BDP(B159,$N$9,$Q$9,S159,$M$9,M159,"PRICING SOURCE",$C$6,"FILL=B"))))</f>
        <v/>
      </c>
      <c r="O159" s="235"/>
      <c r="P159" s="236" t="str">
        <f>IF(O159="",N159,O159)</f>
        <v/>
      </c>
      <c r="Q159" s="166" t="str" cm="1">
        <f t="array" ref="Q159">IF(ISERROR((_xlfn.SINGLE(IF(OR(AD159="SINKABLE",AD159="CALL/SINK"),_xll.BDP($B159,$Q$10,"fill=b","PRICING_SOURCE",$C$6,$AC159,$N$9,$P159,$M$9,$M159),_xll.BDP($B159,Q$9,"fill=b","PRICING_SOURCE",$C$6,$AC159,$N$9,$P159,$M$9,$M159))))*1),"",IF(OR(AD159="SINKABLE",AD159="CALL/SINK"),_xll.BDP($B159,$Q$10,"fill=b","PRICING_SOURCE",$C$6,$AC159,$N$9,$P159,$M$9,$M159),_xll.BDP($B159,Q$9,"fill=b","PRICING_SOURCE",$C$6,$AC159,$N$9,$P159,$M$9,$M159)))</f>
        <v/>
      </c>
      <c r="R159" s="237"/>
      <c r="S159" s="238" t="str">
        <f>IF(R159="",Q159,R159)</f>
        <v/>
      </c>
      <c r="T159" s="239" t="str" cm="1">
        <f t="array" ref="T159">IF(ISERROR((_xlfn.SINGLE(IF(OR(AD159="SINKABLE",AD159="CALL/SINK"),_xll.BDP($B159,$Q$10,"fill=b","PRICING_SOURCE",$C$6,$AC159,$M$9,$U159,"px ask",$AE159),_xll.BDP($B159,Q$9,"fill=b","PRICING_SOURCE",$C$6,$AC159,$M$9,$U159,"px ask",$AE159))))*1),"",IF(OR(AD159="SINKABLE",AD159="CALL/SINK"),_xll.BDP($B159,$Q$10,"fill=b","PRICING_SOURCE",$C$6,$AC159,$M$9,$U159,"px ask",$AE159),_xll.BDP($B159,Q$9,"fill=b","PRICING_SOURCE",$C$6,$AC159,$M$9,$U159,"px ask",$AE159)))</f>
        <v/>
      </c>
      <c r="U159" s="240" t="str">
        <f t="shared" si="41"/>
        <v/>
      </c>
      <c r="V159" s="254" t="str">
        <f>IF(B159="","",IF(I159="BZDIOVRA Index",IF(OR(AD159="SINKABLE",AD159="CALL/SINK"),_xll.BDP($B159,"PX_ASK",$Q$10,J159,$M$9,M159),_xll.BDP($B159,"PX_"&amp;$H$7,$Q$9,J159,$M$9,M159)),_xll.BDP($B159,"PX_"&amp;$H$7,$Q$9,_xll.BDP(B159,"CPN"),$M$9,M159)))</f>
        <v/>
      </c>
      <c r="W159" s="254" t="str">
        <f t="shared" si="42"/>
        <v/>
      </c>
      <c r="X159" s="166" t="str">
        <f>IF(B159="","",IF(OR(AD159="SINKABLE",AD159="CALL/SINK"),_xll.BDP($B159,X$9,"fill=b","PRICING_SOURCE",$C$6,$AC159,$M$9,$M159,$N$9,$P159,$Q$10,$S159),_xll.BDP($B159,X$9,"fill=b","PRICING_SOURCE",$C$6,$AC159,$M$9,$M159,$N$9,$P159,$Q$9,$S159)))</f>
        <v/>
      </c>
      <c r="Y159" s="166" t="str">
        <f>IF(B159="","",IF(OR(AD159="SINKABLE",AD159="CALL/SINK"),_xll.BDP($B159,Y$9,"fill=b","PRICING_SOURCE",$C$6,$AC159,$M$9,$M159,$N$9,$P159,$Q$10,$S159),_xll.BDP($B159,Y$9,"fill=b","PRICING_SOURCE",$C$6,$AC159,$M$9,$M159,$N$9,$P159,$Q$9,$S159)))</f>
        <v/>
      </c>
      <c r="Z159" s="255" t="str">
        <f>IF(B159="","",IF(OR(AD159="SINKABLE",AD159="CALL/SINK"),_xll.BDP($B159,Z$9,"fill=b","PRICING_SOURCE",$C$6,$AC159,$M$9,$M159,$N$9,$P159,$Q$10,$S159),_xll.BDP($B159,Z$9,"fill=b","PRICING_SOURCE",$C$6,$AC159,$M$9,$M159,$N$9,$P159,$Q$9,$S159)))</f>
        <v/>
      </c>
      <c r="AA159" s="166" t="str">
        <f>IF(B159="","",IF(OR(AD159="SINKABLE",AD159="CALL/SINK"),_xll.BDP($B159,AA$9,"fill=b","PRICING_SOURCE",$C$6,$AC159,$M$9,$M159,$N$9,$P159,$Q$10,$S159),_xll.BDP($B159,AA$9,"fill=b","PRICING_SOURCE",$C$6,$AC159,$M$9,$M159,$N$9,$P159,$Q$9,$S159)))</f>
        <v/>
      </c>
      <c r="AB159" s="150" t="str">
        <f>IF(B159="","",IF(LEFT(_xll.BDP($B159,AB$9,"fill=b"),1)="#","-",_xll.BDP($B159,AB$9,"fill=b")))</f>
        <v/>
      </c>
      <c r="AC159" s="150" t="str">
        <f>IF(OR(AD159="SINKABLE",AD159="CALL/SINK"),"YLD FLAG=28",IF(OR(AD159="AT MATURITY",AD159="CALLABLE"),"YLD FLAG=1","YLD FLAG=2"))</f>
        <v>YLD FLAG=2</v>
      </c>
      <c r="AD159" s="150" t="str">
        <f>IF(B159="","",_xll.BDP($B159,AD$9,"fill=b"))</f>
        <v/>
      </c>
      <c r="AE159" s="256" t="str">
        <f>IF(B159="","",IF(ISERROR(_xll.BDH(B159,"PX LAST",AN159,AN159,"DAYS=ALL","PRICING SOURCE",$C$6)*1),_xll.BDP(B159,"PAR AMT"),_xll.BDH(B159,"PX LAST",AN159,AN159,"DAYS=ALL","PRICING SOURCE",$C$6)))</f>
        <v/>
      </c>
      <c r="AF159" s="150" t="str">
        <f>IF(B159="","",_xll.BDP($B159,AF$9,"fill=b"))</f>
        <v/>
      </c>
      <c r="AG159" s="150"/>
      <c r="AH159" s="190" t="str">
        <f>IF(B159="","",IF($AD159="AT MATURITY",$AB159*1,_xll.BADDPERIODS(_xll.BDP($B159,"issue dt"),"numberofperiods",TRUNC(_xll.BDP($B159,"YRS_TO_LONGEST_AVG_LIFE","YLD_YTM_BID",AF159,"SETTLE_DT",U159,AC159),0),"per=y")+(ROUND(MOD(_xll.BDP(B159,"YRS_TO_LONGEST_AVG_LIFE","YLD_YTM_BID",AF159,"SETTLE_DT",U159,AC159),1)*360,0))))</f>
        <v/>
      </c>
      <c r="AI159" s="150" t="str">
        <f t="array" ref="AI159">IF(B159="","",AF159-_xll.BInterpol(_xll.BDP(_xll.BDS("YCGT0372 Index","curve members","CURVE_DATE", $U159,"endcol=1","array=true"),"maturity")*1,_xll.BDH(_xll.BDS("YCGT0372 Index","curve members","CURVE_DATE", $U159,"endcol=1","array=true"),"yld cnv mid",$U159,$U159,"days=all"),AH159,"CUBIC","Extrapolate=LINEAR","SKIP=TRUE","SORT=TRUE","MultiX=Average"))</f>
        <v/>
      </c>
      <c r="AJ159" s="189" t="str">
        <f t="shared" si="43"/>
        <v/>
      </c>
      <c r="AK159" s="257" t="str">
        <f>IF(B159="","",_xll.BDP($B159,AK$9,"fill=b"))</f>
        <v/>
      </c>
      <c r="AL159" s="257" t="str">
        <f>IF(B159="","",_xll.BDP($B159,AL$9,"fill=b"))</f>
        <v/>
      </c>
      <c r="AM159" s="256" t="str">
        <f>IF(B159="","",_xll.BDP($B159,AM$9,"fill=b"))</f>
        <v/>
      </c>
      <c r="AN159" s="150" t="str">
        <f>IF(B159="","",_xll.BDP($B159,AN$9,"fill=b"))</f>
        <v/>
      </c>
      <c r="AO159" s="150" t="str">
        <f>IF(B159="","",IF(LEFT(_xll.BDP($B159,AO$9,"fill=b"),1)="#","-",_xll.BDP($B159,AO$9,"fill=b")))</f>
        <v/>
      </c>
      <c r="AP159" s="150" t="str">
        <f>IF(B159="","",_xll.BDP($B159,AP$9,"fill=b"))</f>
        <v/>
      </c>
      <c r="AQ159" s="150" t="str">
        <f>IF(B159="","",_xll.BDP($B159,AQ$9,"fill=b"))</f>
        <v/>
      </c>
      <c r="AR159" s="150" t="str">
        <f>IF(B159="","",_xll.BDP($B159,AR$9,"fill=b"))</f>
        <v/>
      </c>
      <c r="AS159" s="150" t="str">
        <f>IF(B159="","",_xll.BDP($B159,AS$9,"fill=b"))</f>
        <v/>
      </c>
      <c r="AT159" s="150" t="str">
        <f>IF(B159="","",_xll.BDP($B159,AT$9,"fill=b"))</f>
        <v/>
      </c>
      <c r="AU159" s="258" t="str">
        <f>IF(B159="","",_xll.BDP($B159,AU$9,"fill=b"))</f>
        <v/>
      </c>
    </row>
    <row r="160" spans="2:47" ht="15" x14ac:dyDescent="0.25">
      <c r="B160" s="241"/>
      <c r="C160" s="195" t="str">
        <f>IF(B160="","",_xll.BDP($B160,C$9,"fill=b"))</f>
        <v/>
      </c>
      <c r="D160" s="195" t="str">
        <f>IF(B160="","",_xll.BDP($B160,D$9,"fill=b"))</f>
        <v/>
      </c>
      <c r="E160" s="195" t="str">
        <f>IF(B160="","",_xll.BDP($B160,E$9,"fill=b"))</f>
        <v/>
      </c>
      <c r="F160" s="195" t="str">
        <f>IF(B160="","",IF(LEFT(_xll.BDP($B160,F$9,"fill=b"),1)="#","-",_xll.BDP($B160,F$9,"fill=b")))</f>
        <v/>
      </c>
      <c r="G160" s="195" t="str">
        <f>IF(B160="","",_xll.BDP($B160,G$9,"fill=b"))</f>
        <v/>
      </c>
      <c r="H160" s="195" t="str">
        <f>IF(B160="","",_xll.BDP($B160,H$9,"fill=b"))</f>
        <v/>
      </c>
      <c r="I160" s="195" t="str" cm="1">
        <f t="array" ref="I160">IF(LEFT(_xlfn.SINGLE(_xll.BDP(B160,"REFERENCE_INDEX")),1)="#",IF(LEFT(_xlfn.SINGLE(_xll.BDP(B160, "RESET_IDX"))&amp;" Index",1)="#","",_xlfn.SINGLE(_xll.BDP(B160, "RESET_IDX"))&amp;" Index"),_xll.BDP(B160,"REFERENCE_INDEX"))</f>
        <v/>
      </c>
      <c r="J160" s="195" t="str">
        <f>IF(I160="BZDIOVRA Index",IF(_xll.BDP(B160,"FLT_SPREAD")/100=0,_xll.BDP(B160,"FLT_BENCH_MULTIPLIER"),_xll.BDP(B160,"FLT_SPREAD")/100),"")</f>
        <v/>
      </c>
      <c r="K160" s="195" t="str">
        <f>IF(B160="","",IF(LEFT(_xll.BDP($B160,K$9,"fill=b"),1)="#","-",_xll.BDP($B160,K$9,"fill=b")))</f>
        <v/>
      </c>
      <c r="L160" s="242"/>
      <c r="M160" s="243" t="str">
        <f t="shared" si="48"/>
        <v/>
      </c>
      <c r="N160" s="253" t="str">
        <f>IF(B160="","",IF(R160="",IF(OR(AD160="SINKABLE",AD160="CALL/SINK"),_xll.BDP(B160,$N$9,$M$9,M160,"PRICING SOURCE",$C$6,"FILL=B"),_xll.BDP(B160,$N$9,$M$9,M160,"PRICING SOURCE",$C$6,"FILL=B")),IF(OR(AD160="SINKABLE",AD160="CALL/SINK"),_xll.BDP(B160,$N$9,$Q$10,S160,$M$9,M160,"PRICING SOURCE",$C$6,"FILL=B"),_xll.BDP(B160,$N$9,$Q$9,S160,$M$9,M160,"PRICING SOURCE",$C$6,"FILL=B"))))</f>
        <v/>
      </c>
      <c r="O160" s="244"/>
      <c r="P160" s="245" t="str">
        <f>IF(O160="",N160,O160)</f>
        <v/>
      </c>
      <c r="Q160" s="215" t="str" cm="1">
        <f t="array" ref="Q160">IF(ISERROR((_xlfn.SINGLE(IF(OR(AD160="SINKABLE",AD160="CALL/SINK"),_xll.BDP($B160,$Q$10,"fill=b","PRICING_SOURCE",$C$6,$AC160,$N$9,$P160,$M$9,$M160),_xll.BDP($B160,Q$9,"fill=b","PRICING_SOURCE",$C$6,$AC160,$N$9,$P160,$M$9,$M160))))*1),"",IF(OR(AD160="SINKABLE",AD160="CALL/SINK"),_xll.BDP($B160,$Q$10,"fill=b","PRICING_SOURCE",$C$6,$AC160,$N$9,$P160,$M$9,$M160),_xll.BDP($B160,Q$9,"fill=b","PRICING_SOURCE",$C$6,$AC160,$N$9,$P160,$M$9,$M160)))</f>
        <v/>
      </c>
      <c r="R160" s="246"/>
      <c r="S160" s="247" t="str">
        <f>IF(R160="",Q160,R160)</f>
        <v/>
      </c>
      <c r="T160" s="248" t="str" cm="1">
        <f t="array" ref="T160">IF(ISERROR((_xlfn.SINGLE(IF(OR(AD160="SINKABLE",AD160="CALL/SINK"),_xll.BDP($B160,$Q$10,"fill=b","PRICING_SOURCE",$C$6,$AC160,$M$9,$U160,"px ask",$AE160),_xll.BDP($B160,Q$9,"fill=b","PRICING_SOURCE",$C$6,$AC160,$M$9,$U160,"px ask",$AE160))))*1),"",IF(OR(AD160="SINKABLE",AD160="CALL/SINK"),_xll.BDP($B160,$Q$10,"fill=b","PRICING_SOURCE",$C$6,$AC160,$M$9,$U160,"px ask",$AE160),_xll.BDP($B160,Q$9,"fill=b","PRICING_SOURCE",$C$6,$AC160,$M$9,$U160,"px ask",$AE160)))</f>
        <v/>
      </c>
      <c r="U160" s="249" t="str">
        <f t="shared" si="41"/>
        <v/>
      </c>
      <c r="V160" s="259" t="str">
        <f>IF(B160="","",IF(I160="BZDIOVRA Index",IF(OR(AD160="SINKABLE",AD160="CALL/SINK"),_xll.BDP($B160,"PX_ASK",$Q$10,J160,$M$9,M160),_xll.BDP($B160,"PX_"&amp;$H$7,$Q$9,J160,$M$9,M160)),_xll.BDP($B160,"PX_"&amp;$H$7,$Q$9,_xll.BDP(B160,"CPN"),$M$9,M160)))</f>
        <v/>
      </c>
      <c r="W160" s="259" t="str">
        <f t="shared" si="42"/>
        <v/>
      </c>
      <c r="X160" s="215" t="str">
        <f>IF(B160="","",IF(OR(AD160="SINKABLE",AD160="CALL/SINK"),_xll.BDP($B160,X$9,"fill=b","PRICING_SOURCE",$C$6,$AC160,$M$9,$M160,$N$9,$P160,$Q$10,$S160),_xll.BDP($B160,X$9,"fill=b","PRICING_SOURCE",$C$6,$AC160,$M$9,$M160,$N$9,$P160,$Q$9,$S160)))</f>
        <v/>
      </c>
      <c r="Y160" s="215" t="str">
        <f>IF(B160="","",IF(OR(AD160="SINKABLE",AD160="CALL/SINK"),_xll.BDP($B160,Y$9,"fill=b","PRICING_SOURCE",$C$6,$AC160,$M$9,$M160,$N$9,$P160,$Q$10,$S160),_xll.BDP($B160,Y$9,"fill=b","PRICING_SOURCE",$C$6,$AC160,$M$9,$M160,$N$9,$P160,$Q$9,$S160)))</f>
        <v/>
      </c>
      <c r="Z160" s="260" t="str">
        <f>IF(B160="","",IF(OR(AD160="SINKABLE",AD160="CALL/SINK"),_xll.BDP($B160,Z$9,"fill=b","PRICING_SOURCE",$C$6,$AC160,$M$9,$M160,$N$9,$P160,$Q$10,$S160),_xll.BDP($B160,Z$9,"fill=b","PRICING_SOURCE",$C$6,$AC160,$M$9,$M160,$N$9,$P160,$Q$9,$S160)))</f>
        <v/>
      </c>
      <c r="AA160" s="215" t="str">
        <f>IF(B160="","",IF(OR(AD160="SINKABLE",AD160="CALL/SINK"),_xll.BDP($B160,AA$9,"fill=b","PRICING_SOURCE",$C$6,$AC160,$M$9,$M160,$N$9,$P160,$Q$10,$S160),_xll.BDP($B160,AA$9,"fill=b","PRICING_SOURCE",$C$6,$AC160,$M$9,$M160,$N$9,$P160,$Q$9,$S160)))</f>
        <v/>
      </c>
      <c r="AB160" s="195" t="str">
        <f>IF(B160="","",IF(LEFT(_xll.BDP($B160,AB$9,"fill=b"),1)="#","-",_xll.BDP($B160,AB$9,"fill=b")))</f>
        <v/>
      </c>
      <c r="AC160" s="195" t="str">
        <f>IF(OR(AD160="SINKABLE",AD160="CALL/SINK"),"YLD FLAG=28",IF(OR(AD160="AT MATURITY",AD160="CALLABLE"),"YLD FLAG=1","YLD FLAG=2"))</f>
        <v>YLD FLAG=2</v>
      </c>
      <c r="AD160" s="195" t="str">
        <f>IF(B160="","",_xll.BDP($B160,AD$9,"fill=b"))</f>
        <v/>
      </c>
      <c r="AE160" s="261" t="str">
        <f>IF(B160="","",IF(ISERROR(_xll.BDH(B160,"PX LAST",AN160,AN160,"DAYS=ALL","PRICING SOURCE",$C$6)*1),_xll.BDP(B160,"PAR AMT"),_xll.BDH(B160,"PX LAST",AN160,AN160,"DAYS=ALL","PRICING SOURCE",$C$6)))</f>
        <v/>
      </c>
      <c r="AF160" s="195" t="str">
        <f>IF(B160="","",_xll.BDP($B160,AF$9,"fill=b"))</f>
        <v/>
      </c>
      <c r="AG160" s="195"/>
      <c r="AH160" s="212" t="str">
        <f>IF(B160="","",IF($AD160="AT MATURITY",$AB160*1,_xll.BADDPERIODS(_xll.BDP($B160,"issue dt"),"numberofperiods",TRUNC(_xll.BDP($B160,"YRS_TO_LONGEST_AVG_LIFE","YLD_YTM_BID",AF160,"SETTLE_DT",U160,AC160),0),"per=y")+(ROUND(MOD(_xll.BDP(B160,"YRS_TO_LONGEST_AVG_LIFE","YLD_YTM_BID",AF160,"SETTLE_DT",U160,AC160),1)*360,0))))</f>
        <v/>
      </c>
      <c r="AI160" s="195" t="str">
        <f t="array" ref="AI160">IF(B160="","",AF160-_xll.BInterpol(_xll.BDP(_xll.BDS("YCGT0372 Index","curve members","CURVE_DATE", $U160,"endcol=1","array=true"),"maturity")*1,_xll.BDH(_xll.BDS("YCGT0372 Index","curve members","CURVE_DATE", $U160,"endcol=1","array=true"),"yld cnv mid",$U160,$U160,"days=all"),AH160,"CUBIC","Extrapolate=LINEAR","SKIP=TRUE","SORT=TRUE","MultiX=Average"))</f>
        <v/>
      </c>
      <c r="AJ160" s="211" t="str">
        <f t="shared" si="43"/>
        <v/>
      </c>
      <c r="AK160" s="262" t="str">
        <f>IF(B160="","",_xll.BDP($B160,AK$9,"fill=b"))</f>
        <v/>
      </c>
      <c r="AL160" s="262" t="str">
        <f>IF(B160="","",_xll.BDP($B160,AL$9,"fill=b"))</f>
        <v/>
      </c>
      <c r="AM160" s="261" t="str">
        <f>IF(B160="","",_xll.BDP($B160,AM$9,"fill=b"))</f>
        <v/>
      </c>
      <c r="AN160" s="195" t="str">
        <f>IF(B160="","",_xll.BDP($B160,AN$9,"fill=b"))</f>
        <v/>
      </c>
      <c r="AO160" s="195" t="str">
        <f>IF(B160="","",IF(LEFT(_xll.BDP($B160,AO$9,"fill=b"),1)="#","-",_xll.BDP($B160,AO$9,"fill=b")))</f>
        <v/>
      </c>
      <c r="AP160" s="195" t="str">
        <f>IF(B160="","",_xll.BDP($B160,AP$9,"fill=b"))</f>
        <v/>
      </c>
      <c r="AQ160" s="195" t="str">
        <f>IF(B160="","",_xll.BDP($B160,AQ$9,"fill=b"))</f>
        <v/>
      </c>
      <c r="AR160" s="195" t="str">
        <f>IF(B160="","",_xll.BDP($B160,AR$9,"fill=b"))</f>
        <v/>
      </c>
      <c r="AS160" s="195" t="str">
        <f>IF(B160="","",_xll.BDP($B160,AS$9,"fill=b"))</f>
        <v/>
      </c>
      <c r="AT160" s="195" t="str">
        <f>IF(B160="","",_xll.BDP($B160,AT$9,"fill=b"))</f>
        <v/>
      </c>
      <c r="AU160" s="263" t="str">
        <f>IF(B160="","",_xll.BDP($B160,AU$9,"fill=b"))</f>
        <v/>
      </c>
    </row>
  </sheetData>
  <autoFilter ref="N8:N160" xr:uid="{00000000-0009-0000-0000-000007000000}"/>
  <mergeCells count="6">
    <mergeCell ref="AR7:AT7"/>
    <mergeCell ref="X7:AA7"/>
    <mergeCell ref="AP7:AQ7"/>
    <mergeCell ref="AB7:AD7"/>
    <mergeCell ref="K7:W7"/>
    <mergeCell ref="AE7:AO7"/>
  </mergeCells>
  <conditionalFormatting sqref="N12">
    <cfRule type="expression" dxfId="5" priority="10" stopIfTrue="1">
      <formula>$O12&lt;&gt;""</formula>
    </cfRule>
  </conditionalFormatting>
  <conditionalFormatting sqref="Q12">
    <cfRule type="expression" dxfId="4" priority="9" stopIfTrue="1">
      <formula>$R12&lt;&gt;""</formula>
    </cfRule>
  </conditionalFormatting>
  <conditionalFormatting sqref="N11">
    <cfRule type="expression" dxfId="3" priority="4" stopIfTrue="1">
      <formula>$O11&lt;&gt;""</formula>
    </cfRule>
  </conditionalFormatting>
  <conditionalFormatting sqref="Q11">
    <cfRule type="expression" dxfId="2" priority="3" stopIfTrue="1">
      <formula>$R11&lt;&gt;""</formula>
    </cfRule>
  </conditionalFormatting>
  <conditionalFormatting sqref="N13:N160">
    <cfRule type="expression" dxfId="1" priority="2" stopIfTrue="1">
      <formula>$O13&lt;&gt;""</formula>
    </cfRule>
  </conditionalFormatting>
  <conditionalFormatting sqref="Q13:Q160">
    <cfRule type="expression" dxfId="0" priority="1" stopIfTrue="1">
      <formula>$R13&lt;&gt;""</formula>
    </cfRule>
  </conditionalFormatting>
  <dataValidations count="1">
    <dataValidation type="list" allowBlank="1" showInputMessage="1" showErrorMessage="1" sqref="H7" xr:uid="{00000000-0002-0000-0700-000000000000}">
      <formula1>"BID,ASK"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5706" r:id="rId4" name="Check Box 858">
              <controlPr defaultSize="0" autoFill="0" autoLine="0" autoPict="0" macro="[0]!issue_date">
                <anchor moveWithCells="1">
                  <from>
                    <xdr:col>35</xdr:col>
                    <xdr:colOff>38100</xdr:colOff>
                    <xdr:row>5</xdr:row>
                    <xdr:rowOff>0</xdr:rowOff>
                  </from>
                  <to>
                    <xdr:col>35</xdr:col>
                    <xdr:colOff>1200150</xdr:colOff>
                    <xdr:row>6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0"/>
  <dimension ref="B1:L158"/>
  <sheetViews>
    <sheetView showGridLines="0" showRowColHeaders="0" zoomScaleNormal="100" workbookViewId="0">
      <pane ySplit="5" topLeftCell="A6" activePane="bottomLeft" state="frozen"/>
      <selection pane="bottomLeft" activeCell="F57" sqref="F57"/>
    </sheetView>
  </sheetViews>
  <sheetFormatPr defaultRowHeight="15" x14ac:dyDescent="0.25"/>
  <cols>
    <col min="1" max="1" width="1.5703125" customWidth="1"/>
    <col min="2" max="2" width="17.85546875" customWidth="1"/>
    <col min="3" max="3" width="22.85546875" customWidth="1"/>
    <col min="4" max="7" width="26.5703125" customWidth="1"/>
    <col min="8" max="8" width="26.7109375" style="32" bestFit="1" customWidth="1"/>
    <col min="9" max="9" width="32.7109375" style="32" customWidth="1"/>
    <col min="10" max="12" width="26.7109375" style="32" customWidth="1"/>
  </cols>
  <sheetData>
    <row r="1" spans="2:12" ht="5.0999999999999996" customHeight="1" x14ac:dyDescent="0.25"/>
    <row r="2" spans="2:12" ht="15" customHeight="1" x14ac:dyDescent="0.25"/>
    <row r="3" spans="2:12" ht="15" customHeight="1" x14ac:dyDescent="0.25"/>
    <row r="4" spans="2:12" ht="15" customHeight="1" x14ac:dyDescent="0.25"/>
    <row r="5" spans="2:12" ht="5.0999999999999996" customHeight="1" x14ac:dyDescent="0.25"/>
    <row r="6" spans="2:12" x14ac:dyDescent="0.25">
      <c r="B6" s="265"/>
      <c r="H6" s="268"/>
    </row>
    <row r="7" spans="2:12" ht="15.75" customHeight="1" x14ac:dyDescent="0.25">
      <c r="B7" s="107" t="s">
        <v>169</v>
      </c>
      <c r="C7" s="52" t="s">
        <v>184</v>
      </c>
      <c r="D7" s="52" t="s">
        <v>185</v>
      </c>
      <c r="E7" s="52" t="s">
        <v>173</v>
      </c>
      <c r="F7" s="52" t="s">
        <v>353</v>
      </c>
      <c r="G7" s="52" t="s">
        <v>122</v>
      </c>
      <c r="H7" s="52" t="s">
        <v>349</v>
      </c>
      <c r="I7" s="52" t="s">
        <v>350</v>
      </c>
      <c r="J7" s="52" t="s">
        <v>173</v>
      </c>
      <c r="K7" s="52" t="s">
        <v>353</v>
      </c>
      <c r="L7" s="53" t="s">
        <v>122</v>
      </c>
    </row>
    <row r="8" spans="2:12" s="228" customFormat="1" hidden="1" x14ac:dyDescent="0.25">
      <c r="B8" s="227" t="s">
        <v>169</v>
      </c>
      <c r="C8" s="228" t="s">
        <v>168</v>
      </c>
      <c r="D8" s="228" t="s">
        <v>10</v>
      </c>
      <c r="E8" s="228" t="s">
        <v>351</v>
      </c>
      <c r="F8" s="228" t="s">
        <v>354</v>
      </c>
      <c r="G8" s="228" t="s">
        <v>352</v>
      </c>
      <c r="H8" s="229" t="s">
        <v>165</v>
      </c>
      <c r="I8" s="229" t="s">
        <v>10</v>
      </c>
      <c r="J8" s="228" t="s">
        <v>355</v>
      </c>
      <c r="K8" s="229" t="s">
        <v>356</v>
      </c>
      <c r="L8" s="269" t="s">
        <v>357</v>
      </c>
    </row>
    <row r="9" spans="2:12" x14ac:dyDescent="0.25">
      <c r="B9" s="182" t="str">
        <f t="array" ref="B9:B158">IF(Debentures!$B$11:$B$160=0,"",Debentures!$B$11:$B$160)</f>
        <v>EH224734 Corp</v>
      </c>
      <c r="C9" s="150" t="str" cm="1">
        <f t="array" ref="C9">IF(B9="","",_xll.BDP($B9,C$8,"fill=b"))</f>
        <v>CYRBZ Float 01/05/18</v>
      </c>
      <c r="D9" s="150" t="str" cm="1">
        <f t="array" ref="D9">IF(B9="","",_xll.BDP($B9,D$8,"fill=b"))</f>
        <v>BRAZIL REALTY</v>
      </c>
      <c r="E9" s="150" t="str" cm="1">
        <f t="array" ref="E9">IF(C9="","",_xll.BDP($B9,E$8,"fill=b"))</f>
        <v/>
      </c>
      <c r="F9" s="150" t="str" cm="1">
        <f t="array" ref="F9">IF(B9="","",_xll.BDP($B9,F$8,"fill=b"))</f>
        <v/>
      </c>
      <c r="G9" s="150" t="str" cm="1">
        <f t="array" ref="G9">IF(B9="","",_xll.BDP($B9,G$8,"fill=b"))</f>
        <v/>
      </c>
      <c r="H9" s="150" t="str" cm="1">
        <f t="array" ref="H9">IF(B9="","",IF(LEFT(_xlfn.SINGLE(_xll.BDP($B9,H$8,"fill=b")),1)="#","-",_xll.BDP($B9,H$8,"fill=b")))</f>
        <v>CYRE3 BZ</v>
      </c>
      <c r="I9" s="150" t="str" cm="1">
        <f t="array" ref="I9">IF(OR(B9="",TRIM(H9)="-"),"",_xll.BDP(H9&amp;" Equity",I$8,"fill=b"))</f>
        <v>CYRELA BRAZIL REALTY SA EMP</v>
      </c>
      <c r="J9" s="150" t="str" cm="1">
        <f t="array" ref="J9">IF(OR($B9="",$H9="-"),"",_xll.BDP($H9&amp;" Equity",J$8,"fill=b"))</f>
        <v/>
      </c>
      <c r="K9" s="150" t="str" cm="1">
        <f t="array" ref="K9">IF(OR($B9="",$H9="-"),"",_xll.BDP($H9&amp;" Equity",K$8,"fill=b"))</f>
        <v>NR</v>
      </c>
      <c r="L9" s="258" t="str" cm="1">
        <f t="array" ref="L9">IF(OR($B9="",$H9="-"),"",_xll.BDP($H9&amp;" Equity",L$8,"fill=b"))</f>
        <v>WD</v>
      </c>
    </row>
    <row r="10" spans="2:12" x14ac:dyDescent="0.25">
      <c r="B10" s="182" t="str">
        <v>EH975243 Corp</v>
      </c>
      <c r="C10" s="150" t="str" cm="1">
        <f t="array" ref="C10">IF(B10="","",_xll.BDP($B10,C$8,"fill=b"))</f>
        <v>VIVOBZ 4 10/15/19</v>
      </c>
      <c r="D10" s="150" t="str" cm="1">
        <f t="array" ref="D10">IF(B10="","",_xll.BDP($B10,D$8,"fill=b"))</f>
        <v>TELEFONICA BRASIL SA</v>
      </c>
      <c r="E10" s="150" t="str" cm="1">
        <f t="array" ref="E10">IF(C10="","",_xll.BDP($B10,E$8,"fill=b"))</f>
        <v/>
      </c>
      <c r="F10" s="150" t="str" cm="1">
        <f t="array" ref="F10">IF(B10="","",_xll.BDP($B10,F$8,"fill=b"))</f>
        <v/>
      </c>
      <c r="G10" s="150" t="str" cm="1">
        <f t="array" ref="G10">IF(B10="","",_xll.BDP($B10,G$8,"fill=b"))</f>
        <v/>
      </c>
      <c r="H10" s="150" t="str" cm="1">
        <f t="array" ref="H10">IF(B10="","",IF(LEFT(_xlfn.SINGLE(_xll.BDP($B10,H$8,"fill=b")),1)="#","-",_xll.BDP($B10,H$8,"fill=b")))</f>
        <v>TEF SM</v>
      </c>
      <c r="I10" s="150" t="str" cm="1">
        <f t="array" ref="I10">IF(OR(B10="",TRIM(H10)="-"),"",_xll.BDP(H10&amp;" Equity",I$8,"fill=b"))</f>
        <v>TELEFONICA SA</v>
      </c>
      <c r="J10" s="150" t="str" cm="1">
        <f t="array" ref="J10">IF(OR($B10="",$H10="-"),"",_xll.BDP($H10&amp;" Equity",J$8,"fill=b"))</f>
        <v>Baa3</v>
      </c>
      <c r="K10" s="150" t="str" cm="1">
        <f t="array" ref="K10">IF(OR($B10="",$H10="-"),"",_xll.BDP($H10&amp;" Equity",K$8,"fill=b"))</f>
        <v>BBB-</v>
      </c>
      <c r="L10" s="258" t="str" cm="1">
        <f t="array" ref="L10">IF(OR($B10="",$H10="-"),"",_xll.BDP($H10&amp;" Equity",L$8,"fill=b"))</f>
        <v/>
      </c>
    </row>
    <row r="11" spans="2:12" x14ac:dyDescent="0.25">
      <c r="B11" s="182" t="str">
        <v>EI180851 Corp</v>
      </c>
      <c r="C11" s="150" t="str" cm="1">
        <f t="array" ref="C11">IF(B11="","",_xll.BDP($B11,C$8,"fill=b"))</f>
        <v>OHLBZ 8 03/15/17</v>
      </c>
      <c r="D11" s="150" t="str" cm="1">
        <f t="array" ref="D11">IF(B11="","",_xll.BDP($B11,D$8,"fill=b"))</f>
        <v>AUTOVIAS SA</v>
      </c>
      <c r="E11" s="150" t="str" cm="1">
        <f t="array" ref="E11">IF(C11="","",_xll.BDP($B11,E$8,"fill=b"))</f>
        <v/>
      </c>
      <c r="F11" s="150" t="str" cm="1">
        <f t="array" ref="F11">IF(B11="","",_xll.BDP($B11,F$8,"fill=b"))</f>
        <v>WR</v>
      </c>
      <c r="G11" s="150" t="str" cm="1">
        <f t="array" ref="G11">IF(B11="","",_xll.BDP($B11,G$8,"fill=b"))</f>
        <v/>
      </c>
      <c r="H11" s="150" t="str" cm="1">
        <f t="array" ref="H11">IF(B11="","",IF(LEFT(_xlfn.SINGLE(_xll.BDP($B11,H$8,"fill=b")),1)="#","-",_xll.BDP($B11,H$8,"fill=b")))</f>
        <v>3284233Z IM</v>
      </c>
      <c r="I11" s="150" t="str" cm="1">
        <f t="array" ref="I11">IF(OR(B11="",TRIM(H11)="-"),"",_xll.BDP(H11&amp;" Equity",I$8,"fill=b"))</f>
        <v>EDIZIONE SPA</v>
      </c>
      <c r="J11" s="150" t="str" cm="1">
        <f t="array" ref="J11">IF(OR($B11="",$H11="-"),"",_xll.BDP($H11&amp;" Equity",J$8,"fill=b"))</f>
        <v/>
      </c>
      <c r="K11" s="150" t="str" cm="1">
        <f t="array" ref="K11">IF(OR($B11="",$H11="-"),"",_xll.BDP($H11&amp;" Equity",K$8,"fill=b"))</f>
        <v/>
      </c>
      <c r="L11" s="258" t="str" cm="1">
        <f t="array" ref="L11">IF(OR($B11="",$H11="-"),"",_xll.BDP($H11&amp;" Equity",L$8,"fill=b"))</f>
        <v/>
      </c>
    </row>
    <row r="12" spans="2:12" x14ac:dyDescent="0.25">
      <c r="B12" s="182" t="str">
        <v>EI198047 Corp</v>
      </c>
      <c r="C12" s="150" t="str" cm="1">
        <f t="array" ref="C12">IF(B12="","",_xll.BDP($B12,C$8,"fill=b"))</f>
        <v>CRDBBR 9.57 01/15/24</v>
      </c>
      <c r="D12" s="150" t="str" cm="1">
        <f t="array" ref="D12">IF(B12="","",_xll.BDP($B12,D$8,"fill=b"))</f>
        <v>ROTA DAS BANDEIRAS</v>
      </c>
      <c r="E12" s="150" t="str" cm="1">
        <f t="array" ref="E12">IF(C12="","",_xll.BDP($B12,E$8,"fill=b"))</f>
        <v/>
      </c>
      <c r="F12" s="150" t="str" cm="1">
        <f t="array" ref="F12">IF(B12="","",_xll.BDP($B12,F$8,"fill=b"))</f>
        <v>WR</v>
      </c>
      <c r="G12" s="150" t="str" cm="1">
        <f t="array" ref="G12">IF(B12="","",_xll.BDP($B12,G$8,"fill=b"))</f>
        <v/>
      </c>
      <c r="H12" s="150" t="str" cm="1">
        <f t="array" ref="H12">IF(B12="","",IF(LEFT(_xlfn.SINGLE(_xll.BDP($B12,H$8,"fill=b")),1)="#","-",_xll.BDP($B12,H$8,"fill=b")))</f>
        <v>1786102D BZ</v>
      </c>
      <c r="I12" s="150" t="str" cm="1">
        <f t="array" ref="I12">IF(OR(B12="",TRIM(H12)="-"),"",_xll.BDP(H12&amp;" Equity",I$8,"fill=b"))</f>
        <v>SCP 1355 FUNDO DE INVESTIMEN</v>
      </c>
      <c r="J12" s="150" t="str" cm="1">
        <f t="array" ref="J12">IF(OR($B12="",$H12="-"),"",_xll.BDP($H12&amp;" Equity",J$8,"fill=b"))</f>
        <v/>
      </c>
      <c r="K12" s="150" t="str" cm="1">
        <f t="array" ref="K12">IF(OR($B12="",$H12="-"),"",_xll.BDP($H12&amp;" Equity",K$8,"fill=b"))</f>
        <v/>
      </c>
      <c r="L12" s="258" t="str" cm="1">
        <f t="array" ref="L12">IF(OR($B12="",$H12="-"),"",_xll.BDP($H12&amp;" Equity",L$8,"fill=b"))</f>
        <v/>
      </c>
    </row>
    <row r="13" spans="2:12" x14ac:dyDescent="0.25">
      <c r="B13" s="182" t="str">
        <v>EI340246 Corp</v>
      </c>
      <c r="C13" s="150" t="str" cm="1">
        <f t="array" ref="C13">IF(B13="","",_xll.BDP($B13,C$8,"fill=b"))</f>
        <v>CRDBBR 9.57 07/15/24</v>
      </c>
      <c r="D13" s="150" t="str" cm="1">
        <f t="array" ref="D13">IF(B13="","",_xll.BDP($B13,D$8,"fill=b"))</f>
        <v>ROTA DAS BANDEIRAS</v>
      </c>
      <c r="E13" s="150" t="str" cm="1">
        <f t="array" ref="E13">IF(C13="","",_xll.BDP($B13,E$8,"fill=b"))</f>
        <v/>
      </c>
      <c r="F13" s="150" t="str" cm="1">
        <f t="array" ref="F13">IF(B13="","",_xll.BDP($B13,F$8,"fill=b"))</f>
        <v>WR</v>
      </c>
      <c r="G13" s="150" t="str" cm="1">
        <f t="array" ref="G13">IF(B13="","",_xll.BDP($B13,G$8,"fill=b"))</f>
        <v/>
      </c>
      <c r="H13" s="150" t="str" cm="1">
        <f t="array" ref="H13">IF(B13="","",IF(LEFT(_xlfn.SINGLE(_xll.BDP($B13,H$8,"fill=b")),1)="#","-",_xll.BDP($B13,H$8,"fill=b")))</f>
        <v>1786102D BZ</v>
      </c>
      <c r="I13" s="150" t="str" cm="1">
        <f t="array" ref="I13">IF(OR(B13="",TRIM(H13)="-"),"",_xll.BDP(H13&amp;" Equity",I$8,"fill=b"))</f>
        <v>SCP 1355 FUNDO DE INVESTIMEN</v>
      </c>
      <c r="J13" s="150" t="str" cm="1">
        <f t="array" ref="J13">IF(OR($B13="",$H13="-"),"",_xll.BDP($H13&amp;" Equity",J$8,"fill=b"))</f>
        <v/>
      </c>
      <c r="K13" s="150" t="str" cm="1">
        <f t="array" ref="K13">IF(OR($B13="",$H13="-"),"",_xll.BDP($H13&amp;" Equity",K$8,"fill=b"))</f>
        <v/>
      </c>
      <c r="L13" s="258" t="str" cm="1">
        <f t="array" ref="L13">IF(OR($B13="",$H13="-"),"",_xll.BDP($H13&amp;" Equity",L$8,"fill=b"))</f>
        <v/>
      </c>
    </row>
    <row r="14" spans="2:12" x14ac:dyDescent="0.25">
      <c r="B14" s="182" t="str">
        <v>EI661633 Corp</v>
      </c>
      <c r="C14" s="150" t="str" cm="1">
        <f t="array" ref="C14">IF(B14="","",_xll.BDP($B14,C$8,"fill=b"))</f>
        <v>ITAPEB Float 04/20/17</v>
      </c>
      <c r="D14" s="150" t="str" cm="1">
        <f t="array" ref="D14">IF(B14="","",_xll.BDP($B14,D$8,"fill=b"))</f>
        <v>ITAPEBI G DE ENERGIA</v>
      </c>
      <c r="E14" s="150" t="str" cm="1">
        <f t="array" ref="E14">IF(C14="","",_xll.BDP($B14,E$8,"fill=b"))</f>
        <v/>
      </c>
      <c r="F14" s="150" t="str" cm="1">
        <f t="array" ref="F14">IF(B14="","",_xll.BDP($B14,F$8,"fill=b"))</f>
        <v/>
      </c>
      <c r="G14" s="150" t="str" cm="1">
        <f t="array" ref="G14">IF(B14="","",_xll.BDP($B14,G$8,"fill=b"))</f>
        <v/>
      </c>
      <c r="H14" s="150" t="str" cm="1">
        <f t="array" ref="H14">IF(B14="","",IF(LEFT(_xlfn.SINGLE(_xll.BDP($B14,H$8,"fill=b")),1)="#","-",_xll.BDP($B14,H$8,"fill=b")))</f>
        <v>IBE SM</v>
      </c>
      <c r="I14" s="150" t="str" cm="1">
        <f t="array" ref="I14">IF(OR(B14="",TRIM(H14)="-"),"",_xll.BDP(H14&amp;" Equity",I$8,"fill=b"))</f>
        <v>IBERDROLA SA</v>
      </c>
      <c r="J14" s="150" t="str" cm="1">
        <f t="array" ref="J14">IF(OR($B14="",$H14="-"),"",_xll.BDP($H14&amp;" Equity",J$8,"fill=b"))</f>
        <v>Baa1</v>
      </c>
      <c r="K14" s="150" t="str" cm="1">
        <f t="array" ref="K14">IF(OR($B14="",$H14="-"),"",_xll.BDP($H14&amp;" Equity",K$8,"fill=b"))</f>
        <v>BBB+</v>
      </c>
      <c r="L14" s="258" t="str" cm="1">
        <f t="array" ref="L14">IF(OR($B14="",$H14="-"),"",_xll.BDP($H14&amp;" Equity",L$8,"fill=b"))</f>
        <v/>
      </c>
    </row>
    <row r="15" spans="2:12" x14ac:dyDescent="0.25">
      <c r="B15" s="182" t="str">
        <v>EI886024 Corp</v>
      </c>
      <c r="C15" s="150" t="str" cm="1">
        <f t="array" ref="C15">IF(B15="","",_xll.BDP($B15,C$8,"fill=b"))</f>
        <v>COELCE 6.85 10/15/18</v>
      </c>
      <c r="D15" s="150" t="str" cm="1">
        <f t="array" ref="D15">IF(B15="","",_xll.BDP($B15,D$8,"fill=b"))</f>
        <v>CIA ENERGETICA DO CEARA</v>
      </c>
      <c r="E15" s="150" t="str" cm="1">
        <f t="array" ref="E15">IF(C15="","",_xll.BDP($B15,E$8,"fill=b"))</f>
        <v/>
      </c>
      <c r="F15" s="150" t="str" cm="1">
        <f t="array" ref="F15">IF(B15="","",_xll.BDP($B15,F$8,"fill=b"))</f>
        <v/>
      </c>
      <c r="G15" s="150" t="str" cm="1">
        <f t="array" ref="G15">IF(B15="","",_xll.BDP($B15,G$8,"fill=b"))</f>
        <v/>
      </c>
      <c r="H15" s="150" t="str" cm="1">
        <f t="array" ref="H15">IF(B15="","",IF(LEFT(_xlfn.SINGLE(_xll.BDP($B15,H$8,"fill=b")),1)="#","-",_xll.BDP($B15,H$8,"fill=b")))</f>
        <v>ENEL IM</v>
      </c>
      <c r="I15" s="150" t="str" cm="1">
        <f t="array" ref="I15">IF(OR(B15="",TRIM(H15)="-"),"",_xll.BDP(H15&amp;" Equity",I$8,"fill=b"))</f>
        <v>ENEL SPA</v>
      </c>
      <c r="J15" s="150" t="str" cm="1">
        <f t="array" ref="J15">IF(OR($B15="",$H15="-"),"",_xll.BDP($H15&amp;" Equity",J$8,"fill=b"))</f>
        <v>Baa1</v>
      </c>
      <c r="K15" s="150" t="str" cm="1">
        <f t="array" ref="K15">IF(OR($B15="",$H15="-"),"",_xll.BDP($H15&amp;" Equity",K$8,"fill=b"))</f>
        <v>BBB</v>
      </c>
      <c r="L15" s="258" t="str" cm="1">
        <f t="array" ref="L15">IF(OR($B15="",$H15="-"),"",_xll.BDP($H15&amp;" Equity",L$8,"fill=b"))</f>
        <v/>
      </c>
    </row>
    <row r="16" spans="2:12" x14ac:dyDescent="0.25">
      <c r="B16" s="182" t="str">
        <v>EI919918 Corp</v>
      </c>
      <c r="C16" s="150" t="str" cm="1">
        <f t="array" ref="C16">IF(B16="","",_xll.BDP($B16,C$8,"fill=b"))</f>
        <v>FLRYSA Float 12/12/16</v>
      </c>
      <c r="D16" s="150" t="str" cm="1">
        <f t="array" ref="D16">IF(B16="","",_xll.BDP($B16,D$8,"fill=b"))</f>
        <v>FLEURY SA</v>
      </c>
      <c r="E16" s="150" t="str" cm="1">
        <f t="array" ref="E16">IF(C16="","",_xll.BDP($B16,E$8,"fill=b"))</f>
        <v/>
      </c>
      <c r="F16" s="150" t="str" cm="1">
        <f t="array" ref="F16">IF(B16="","",_xll.BDP($B16,F$8,"fill=b"))</f>
        <v>WR</v>
      </c>
      <c r="G16" s="150" t="str" cm="1">
        <f t="array" ref="G16">IF(B16="","",_xll.BDP($B16,G$8,"fill=b"))</f>
        <v/>
      </c>
      <c r="H16" s="150" t="str" cm="1">
        <f t="array" ref="H16">IF(B16="","",IF(LEFT(_xlfn.SINGLE(_xll.BDP($B16,H$8,"fill=b")),1)="#","-",_xll.BDP($B16,H$8,"fill=b")))</f>
        <v>FLRY3 BZ</v>
      </c>
      <c r="I16" s="150" t="str" cm="1">
        <f t="array" ref="I16">IF(OR(B16="",TRIM(H16)="-"),"",_xll.BDP(H16&amp;" Equity",I$8,"fill=b"))</f>
        <v>FLEURY SA</v>
      </c>
      <c r="J16" s="150" t="str" cm="1">
        <f t="array" ref="J16">IF(OR($B16="",$H16="-"),"",_xll.BDP($H16&amp;" Equity",J$8,"fill=b"))</f>
        <v/>
      </c>
      <c r="K16" s="150" t="str" cm="1">
        <f t="array" ref="K16">IF(OR($B16="",$H16="-"),"",_xll.BDP($H16&amp;" Equity",K$8,"fill=b"))</f>
        <v/>
      </c>
      <c r="L16" s="258" t="str" cm="1">
        <f t="array" ref="L16">IF(OR($B16="",$H16="-"),"",_xll.BDP($H16&amp;" Equity",L$8,"fill=b"))</f>
        <v/>
      </c>
    </row>
    <row r="17" spans="2:12" x14ac:dyDescent="0.25">
      <c r="B17" s="182" t="str">
        <v>EI924058 Corp</v>
      </c>
      <c r="C17" s="150" t="str" cm="1">
        <f t="array" ref="C17">IF(B17="","",_xll.BDP($B17,C$8,"fill=b"))</f>
        <v>FLRYSA Float 12/12/18</v>
      </c>
      <c r="D17" s="150" t="str" cm="1">
        <f t="array" ref="D17">IF(B17="","",_xll.BDP($B17,D$8,"fill=b"))</f>
        <v>FLEURY SA</v>
      </c>
      <c r="E17" s="150" t="str" cm="1">
        <f t="array" ref="E17">IF(C17="","",_xll.BDP($B17,E$8,"fill=b"))</f>
        <v/>
      </c>
      <c r="F17" s="150" t="str" cm="1">
        <f t="array" ref="F17">IF(B17="","",_xll.BDP($B17,F$8,"fill=b"))</f>
        <v>WR</v>
      </c>
      <c r="G17" s="150" t="str" cm="1">
        <f t="array" ref="G17">IF(B17="","",_xll.BDP($B17,G$8,"fill=b"))</f>
        <v/>
      </c>
      <c r="H17" s="150" t="str" cm="1">
        <f t="array" ref="H17">IF(B17="","",IF(LEFT(_xlfn.SINGLE(_xll.BDP($B17,H$8,"fill=b")),1)="#","-",_xll.BDP($B17,H$8,"fill=b")))</f>
        <v>FLRY3 BZ</v>
      </c>
      <c r="I17" s="150" t="str" cm="1">
        <f t="array" ref="I17">IF(OR(B17="",TRIM(H17)="-"),"",_xll.BDP(H17&amp;" Equity",I$8,"fill=b"))</f>
        <v>FLEURY SA</v>
      </c>
      <c r="J17" s="150" t="str" cm="1">
        <f t="array" ref="J17">IF(OR($B17="",$H17="-"),"",_xll.BDP($H17&amp;" Equity",J$8,"fill=b"))</f>
        <v/>
      </c>
      <c r="K17" s="150" t="str" cm="1">
        <f t="array" ref="K17">IF(OR($B17="",$H17="-"),"",_xll.BDP($H17&amp;" Equity",K$8,"fill=b"))</f>
        <v/>
      </c>
      <c r="L17" s="258" t="str" cm="1">
        <f t="array" ref="L17">IF(OR($B17="",$H17="-"),"",_xll.BDP($H17&amp;" Equity",L$8,"fill=b"))</f>
        <v/>
      </c>
    </row>
    <row r="18" spans="2:12" x14ac:dyDescent="0.25">
      <c r="B18" s="182" t="str">
        <v>EI930788 Corp</v>
      </c>
      <c r="C18" s="150" t="str" cm="1">
        <f t="array" ref="C18">IF(B18="","",_xll.BDP($B18,C$8,"fill=b"))</f>
        <v>OIBRBZ Float 12/28/18</v>
      </c>
      <c r="D18" s="150" t="str" cm="1">
        <f t="array" ref="D18">IF(B18="","",_xll.BDP($B18,D$8,"fill=b"))</f>
        <v>OI SA</v>
      </c>
      <c r="E18" s="150" t="str" cm="1">
        <f t="array" ref="E18">IF(C18="","",_xll.BDP($B18,E$8,"fill=b"))</f>
        <v/>
      </c>
      <c r="F18" s="150" t="str" cm="1">
        <f t="array" ref="F18">IF(B18="","",_xll.BDP($B18,F$8,"fill=b"))</f>
        <v>WR</v>
      </c>
      <c r="G18" s="150" t="str" cm="1">
        <f t="array" ref="G18">IF(B18="","",_xll.BDP($B18,G$8,"fill=b"))</f>
        <v/>
      </c>
      <c r="H18" s="150" t="str" cm="1">
        <f t="array" ref="H18">IF(B18="","",IF(LEFT(_xlfn.SINGLE(_xll.BDP($B18,H$8,"fill=b")),1)="#","-",_xll.BDP($B18,H$8,"fill=b")))</f>
        <v>OIBR4 BZ</v>
      </c>
      <c r="I18" s="150" t="str" cm="1">
        <f t="array" ref="I18">IF(OR(B18="",TRIM(H18)="-"),"",_xll.BDP(H18&amp;" Equity",I$8,"fill=b"))</f>
        <v>OI SA-PREFERENCE</v>
      </c>
      <c r="J18" s="150" t="str" cm="1">
        <f t="array" ref="J18">IF(OR($B18="",$H18="-"),"",_xll.BDP($H18&amp;" Equity",J$8,"fill=b"))</f>
        <v/>
      </c>
      <c r="K18" s="150" t="str" cm="1">
        <f t="array" ref="K18">IF(OR($B18="",$H18="-"),"",_xll.BDP($H18&amp;" Equity",K$8,"fill=b"))</f>
        <v>SD</v>
      </c>
      <c r="L18" s="258" t="str" cm="1">
        <f t="array" ref="L18">IF(OR($B18="",$H18="-"),"",_xll.BDP($H18&amp;" Equity",L$8,"fill=b"))</f>
        <v>C</v>
      </c>
    </row>
    <row r="19" spans="2:12" x14ac:dyDescent="0.25">
      <c r="B19" s="182" t="str">
        <v>EI963014 Corp</v>
      </c>
      <c r="C19" s="150" t="str" cm="1">
        <f t="array" ref="C19">IF(B19="","",_xll.BDP($B19,C$8,"fill=b"))</f>
        <v>GEPABZ Float 01/10/17</v>
      </c>
      <c r="D19" s="150" t="str" cm="1">
        <f t="array" ref="D19">IF(B19="","",_xll.BDP($B19,D$8,"fill=b"))</f>
        <v>RIO PARANAPANEMA ENERGIA</v>
      </c>
      <c r="E19" s="150" t="str" cm="1">
        <f t="array" ref="E19">IF(C19="","",_xll.BDP($B19,E$8,"fill=b"))</f>
        <v/>
      </c>
      <c r="F19" s="150" t="str" cm="1">
        <f t="array" ref="F19">IF(B19="","",_xll.BDP($B19,F$8,"fill=b"))</f>
        <v>WR</v>
      </c>
      <c r="G19" s="150" t="str" cm="1">
        <f t="array" ref="G19">IF(B19="","",_xll.BDP($B19,G$8,"fill=b"))</f>
        <v/>
      </c>
      <c r="H19" s="150" t="str" cm="1">
        <f t="array" ref="H19">IF(B19="","",IF(LEFT(_xlfn.SINGLE(_xll.BDP($B19,H$8,"fill=b")),1)="#","-",_xll.BDP($B19,H$8,"fill=b")))</f>
        <v>PRCH CH</v>
      </c>
      <c r="I19" s="150" t="str" cm="1">
        <f t="array" ref="I19">IF(OR(B19="",TRIM(H19)="-"),"",_xll.BDP(H19&amp;" Equity",I$8,"fill=b"))</f>
        <v>PEOPLE'S REPUBLIC OF CHINA</v>
      </c>
      <c r="J19" s="150" t="str" cm="1">
        <f t="array" ref="J19">IF(OR($B19="",$H19="-"),"",_xll.BDP($H19&amp;" Equity",J$8,"fill=b"))</f>
        <v>A1</v>
      </c>
      <c r="K19" s="150" t="str" cm="1">
        <f t="array" ref="K19">IF(OR($B19="",$H19="-"),"",_xll.BDP($H19&amp;" Equity",K$8,"fill=b"))</f>
        <v>A+</v>
      </c>
      <c r="L19" s="258" t="str" cm="1">
        <f t="array" ref="L19">IF(OR($B19="",$H19="-"),"",_xll.BDP($H19&amp;" Equity",L$8,"fill=b"))</f>
        <v>Au</v>
      </c>
    </row>
    <row r="20" spans="2:12" x14ac:dyDescent="0.25">
      <c r="B20" s="182" t="str">
        <v>EI999202 Corp</v>
      </c>
      <c r="C20" s="150" t="str" cm="1">
        <f t="array" ref="C20">IF(B20="","",_xll.BDP($B20,C$8,"fill=b"))</f>
        <v>IGTABZ Float 02/01/18</v>
      </c>
      <c r="D20" s="150" t="str" cm="1">
        <f t="array" ref="D20">IF(B20="","",_xll.BDP($B20,D$8,"fill=b"))</f>
        <v>IGUATEMI EMPRESA DE SHOP</v>
      </c>
      <c r="E20" s="150" t="str" cm="1">
        <f t="array" ref="E20">IF(C20="","",_xll.BDP($B20,E$8,"fill=b"))</f>
        <v/>
      </c>
      <c r="F20" s="150" t="str" cm="1">
        <f t="array" ref="F20">IF(B20="","",_xll.BDP($B20,F$8,"fill=b"))</f>
        <v/>
      </c>
      <c r="G20" s="150" t="str" cm="1">
        <f t="array" ref="G20">IF(B20="","",_xll.BDP($B20,G$8,"fill=b"))</f>
        <v/>
      </c>
      <c r="H20" s="150" t="str" cm="1">
        <f t="array" ref="H20">IF(B20="","",IF(LEFT(_xlfn.SINGLE(_xll.BDP($B20,H$8,"fill=b")),1)="#","-",_xll.BDP($B20,H$8,"fill=b")))</f>
        <v>IGTI3 BZ</v>
      </c>
      <c r="I20" s="150" t="str" cm="1">
        <f t="array" ref="I20">IF(OR(B20="",TRIM(H20)="-"),"",_xll.BDP(H20&amp;" Equity",I$8,"fill=b"))</f>
        <v>IGUATEMI SA - ON</v>
      </c>
      <c r="J20" s="150" t="str" cm="1">
        <f t="array" ref="J20">IF(OR($B20="",$H20="-"),"",_xll.BDP($H20&amp;" Equity",J$8,"fill=b"))</f>
        <v/>
      </c>
      <c r="K20" s="150" t="str" cm="1">
        <f t="array" ref="K20">IF(OR($B20="",$H20="-"),"",_xll.BDP($H20&amp;" Equity",K$8,"fill=b"))</f>
        <v/>
      </c>
      <c r="L20" s="258" t="str" cm="1">
        <f t="array" ref="L20">IF(OR($B20="",$H20="-"),"",_xll.BDP($H20&amp;" Equity",L$8,"fill=b"))</f>
        <v/>
      </c>
    </row>
    <row r="21" spans="2:12" x14ac:dyDescent="0.25">
      <c r="B21" s="182" t="str">
        <v>EJ007396 Corp</v>
      </c>
      <c r="C21" s="150" t="str" cm="1">
        <f t="array" ref="C21">IF(B21="","",_xll.BDP($B21,C$8,"fill=b"))</f>
        <v>LAMEBZ Float 01/26/18</v>
      </c>
      <c r="D21" s="150" t="str" cm="1">
        <f t="array" ref="D21">IF(B21="","",_xll.BDP($B21,D$8,"fill=b"))</f>
        <v>LOJAS AMERICANAS SA</v>
      </c>
      <c r="E21" s="150" t="str" cm="1">
        <f t="array" ref="E21">IF(C21="","",_xll.BDP($B21,E$8,"fill=b"))</f>
        <v/>
      </c>
      <c r="F21" s="150" t="str" cm="1">
        <f t="array" ref="F21">IF(B21="","",_xll.BDP($B21,F$8,"fill=b"))</f>
        <v/>
      </c>
      <c r="G21" s="150" t="str" cm="1">
        <f t="array" ref="G21">IF(B21="","",_xll.BDP($B21,G$8,"fill=b"))</f>
        <v/>
      </c>
      <c r="H21" s="150" t="str" cm="1">
        <f t="array" ref="H21">IF(B21="","",IF(LEFT(_xlfn.SINGLE(_xll.BDP($B21,H$8,"fill=b")),1)="#","-",_xll.BDP($B21,H$8,"fill=b")))</f>
        <v>LAME4 BZ</v>
      </c>
      <c r="I21" s="150" t="str" cm="1">
        <f t="array" ref="I21">IF(OR(B21="",TRIM(H21)="-"),"",_xll.BDP(H21&amp;" Equity",I$8,"fill=b"))</f>
        <v>LOJAS AMERICANAS SA-PREF</v>
      </c>
      <c r="J21" s="150" t="str" cm="1">
        <f t="array" ref="J21">IF(OR($B21="",$H21="-"),"",_xll.BDP($H21&amp;" Equity",J$8,"fill=b"))</f>
        <v/>
      </c>
      <c r="K21" s="150" t="str" cm="1">
        <f t="array" ref="K21">IF(OR($B21="",$H21="-"),"",_xll.BDP($H21&amp;" Equity",K$8,"fill=b"))</f>
        <v>NR</v>
      </c>
      <c r="L21" s="258" t="str" cm="1">
        <f t="array" ref="L21">IF(OR($B21="",$H21="-"),"",_xll.BDP($H21&amp;" Equity",L$8,"fill=b"))</f>
        <v>WD</v>
      </c>
    </row>
    <row r="22" spans="2:12" x14ac:dyDescent="0.25">
      <c r="B22" s="182" t="str">
        <v>EJ034586 Corp</v>
      </c>
      <c r="C22" s="150" t="str" cm="1">
        <f t="array" ref="C22">IF(B22="","",_xll.BDP($B22,C$8,"fill=b"))</f>
        <v>BRMLBZ Float 02/15/17</v>
      </c>
      <c r="D22" s="150" t="str" cm="1">
        <f t="array" ref="D22">IF(B22="","",_xll.BDP($B22,D$8,"fill=b"))</f>
        <v>BR MALLS PARTICIPACOES S</v>
      </c>
      <c r="E22" s="150" t="str" cm="1">
        <f t="array" ref="E22">IF(C22="","",_xll.BDP($B22,E$8,"fill=b"))</f>
        <v/>
      </c>
      <c r="F22" s="150" t="str" cm="1">
        <f t="array" ref="F22">IF(B22="","",_xll.BDP($B22,F$8,"fill=b"))</f>
        <v>WR</v>
      </c>
      <c r="G22" s="150" t="str" cm="1">
        <f t="array" ref="G22">IF(B22="","",_xll.BDP($B22,G$8,"fill=b"))</f>
        <v/>
      </c>
      <c r="H22" s="150" t="str" cm="1">
        <f t="array" ref="H22">IF(B22="","",IF(LEFT(_xlfn.SINGLE(_xll.BDP($B22,H$8,"fill=b")),1)="#","-",_xll.BDP($B22,H$8,"fill=b")))</f>
        <v>0310746D PL</v>
      </c>
      <c r="I22" s="150" t="str" cm="1">
        <f t="array" ref="I22">IF(OR(B22="",TRIM(H22)="-"),"",_xll.BDP(H22&amp;" Equity",I$8,"fill=b"))</f>
        <v>EFANOR INVESTIMENTOS SGPS SA</v>
      </c>
      <c r="J22" s="150" t="str" cm="1">
        <f t="array" ref="J22">IF(OR($B22="",$H22="-"),"",_xll.BDP($H22&amp;" Equity",J$8,"fill=b"))</f>
        <v/>
      </c>
      <c r="K22" s="150" t="str" cm="1">
        <f t="array" ref="K22">IF(OR($B22="",$H22="-"),"",_xll.BDP($H22&amp;" Equity",K$8,"fill=b"))</f>
        <v/>
      </c>
      <c r="L22" s="258" t="str" cm="1">
        <f t="array" ref="L22">IF(OR($B22="",$H22="-"),"",_xll.BDP($H22&amp;" Equity",L$8,"fill=b"))</f>
        <v/>
      </c>
    </row>
    <row r="23" spans="2:12" x14ac:dyDescent="0.25">
      <c r="B23" s="182" t="str">
        <v>EJ034594 Corp</v>
      </c>
      <c r="C23" s="150" t="str" cm="1">
        <f t="array" ref="C23">IF(B23="","",_xll.BDP($B23,C$8,"fill=b"))</f>
        <v>BRMLBZ 6.4 02/15/19</v>
      </c>
      <c r="D23" s="150" t="str" cm="1">
        <f t="array" ref="D23">IF(B23="","",_xll.BDP($B23,D$8,"fill=b"))</f>
        <v>BR MALLS PARTICIPACOES S</v>
      </c>
      <c r="E23" s="150" t="str" cm="1">
        <f t="array" ref="E23">IF(C23="","",_xll.BDP($B23,E$8,"fill=b"))</f>
        <v/>
      </c>
      <c r="F23" s="150" t="str" cm="1">
        <f t="array" ref="F23">IF(B23="","",_xll.BDP($B23,F$8,"fill=b"))</f>
        <v>WR</v>
      </c>
      <c r="G23" s="150" t="str" cm="1">
        <f t="array" ref="G23">IF(B23="","",_xll.BDP($B23,G$8,"fill=b"))</f>
        <v/>
      </c>
      <c r="H23" s="150" t="str" cm="1">
        <f t="array" ref="H23">IF(B23="","",IF(LEFT(_xlfn.SINGLE(_xll.BDP($B23,H$8,"fill=b")),1)="#","-",_xll.BDP($B23,H$8,"fill=b")))</f>
        <v>0310746D PL</v>
      </c>
      <c r="I23" s="150" t="str" cm="1">
        <f t="array" ref="I23">IF(OR(B23="",TRIM(H23)="-"),"",_xll.BDP(H23&amp;" Equity",I$8,"fill=b"))</f>
        <v>EFANOR INVESTIMENTOS SGPS SA</v>
      </c>
      <c r="J23" s="150" t="str" cm="1">
        <f t="array" ref="J23">IF(OR($B23="",$H23="-"),"",_xll.BDP($H23&amp;" Equity",J$8,"fill=b"))</f>
        <v/>
      </c>
      <c r="K23" s="150" t="str" cm="1">
        <f t="array" ref="K23">IF(OR($B23="",$H23="-"),"",_xll.BDP($H23&amp;" Equity",K$8,"fill=b"))</f>
        <v/>
      </c>
      <c r="L23" s="258" t="str" cm="1">
        <f t="array" ref="L23">IF(OR($B23="",$H23="-"),"",_xll.BDP($H23&amp;" Equity",L$8,"fill=b"))</f>
        <v/>
      </c>
    </row>
    <row r="24" spans="2:12" x14ac:dyDescent="0.25">
      <c r="B24" s="182" t="str">
        <v>EJ036211 Corp</v>
      </c>
      <c r="C24" s="150" t="str" cm="1">
        <f t="array" ref="C24">IF(B24="","",_xll.BDP($B24,C$8,"fill=b"))</f>
        <v>SBSPBZ Float 02/15/17</v>
      </c>
      <c r="D24" s="150" t="str" cm="1">
        <f t="array" ref="D24">IF(B24="","",_xll.BDP($B24,D$8,"fill=b"))</f>
        <v>CIA SANEAMENTO BASICO</v>
      </c>
      <c r="E24" s="150" t="str" cm="1">
        <f t="array" ref="E24">IF(C24="","",_xll.BDP($B24,E$8,"fill=b"))</f>
        <v/>
      </c>
      <c r="F24" s="150" t="str" cm="1">
        <f t="array" ref="F24">IF(B24="","",_xll.BDP($B24,F$8,"fill=b"))</f>
        <v/>
      </c>
      <c r="G24" s="150" t="str" cm="1">
        <f t="array" ref="G24">IF(B24="","",_xll.BDP($B24,G$8,"fill=b"))</f>
        <v/>
      </c>
      <c r="H24" s="150" t="str" cm="1">
        <f t="array" ref="H24">IF(B24="","",IF(LEFT(_xlfn.SINGLE(_xll.BDP($B24,H$8,"fill=b")),1)="#","-",_xll.BDP($B24,H$8,"fill=b")))</f>
        <v>1169Z BZ</v>
      </c>
      <c r="I24" s="150" t="str" cm="1">
        <f t="array" ref="I24">IF(OR(B24="",TRIM(H24)="-"),"",_xll.BDP(H24&amp;" Equity",I$8,"fill=b"))</f>
        <v>ESTADO DE SAO PAULO</v>
      </c>
      <c r="J24" s="150" t="str" cm="1">
        <f t="array" ref="J24">IF(OR($B24="",$H24="-"),"",_xll.BDP($H24&amp;" Equity",J$8,"fill=b"))</f>
        <v>Ba1</v>
      </c>
      <c r="K24" s="150" t="str" cm="1">
        <f t="array" ref="K24">IF(OR($B24="",$H24="-"),"",_xll.BDP($H24&amp;" Equity",K$8,"fill=b"))</f>
        <v>NR</v>
      </c>
      <c r="L24" s="258" t="str" cm="1">
        <f t="array" ref="L24">IF(OR($B24="",$H24="-"),"",_xll.BDP($H24&amp;" Equity",L$8,"fill=b"))</f>
        <v>BBu</v>
      </c>
    </row>
    <row r="25" spans="2:12" x14ac:dyDescent="0.25">
      <c r="B25" s="182" t="str">
        <v>EJ036303 Corp</v>
      </c>
      <c r="C25" s="150" t="str" cm="1">
        <f t="array" ref="C25">IF(B25="","",_xll.BDP($B25,C$8,"fill=b"))</f>
        <v>SBSPBZ 6.2 02/15/19</v>
      </c>
      <c r="D25" s="150" t="str" cm="1">
        <f t="array" ref="D25">IF(B25="","",_xll.BDP($B25,D$8,"fill=b"))</f>
        <v>CIA SANEAMENTO BASICO</v>
      </c>
      <c r="E25" s="150" t="str" cm="1">
        <f t="array" ref="E25">IF(C25="","",_xll.BDP($B25,E$8,"fill=b"))</f>
        <v/>
      </c>
      <c r="F25" s="150" t="str" cm="1">
        <f t="array" ref="F25">IF(B25="","",_xll.BDP($B25,F$8,"fill=b"))</f>
        <v/>
      </c>
      <c r="G25" s="150" t="str" cm="1">
        <f t="array" ref="G25">IF(B25="","",_xll.BDP($B25,G$8,"fill=b"))</f>
        <v/>
      </c>
      <c r="H25" s="150" t="str" cm="1">
        <f t="array" ref="H25">IF(B25="","",IF(LEFT(_xlfn.SINGLE(_xll.BDP($B25,H$8,"fill=b")),1)="#","-",_xll.BDP($B25,H$8,"fill=b")))</f>
        <v>1169Z BZ</v>
      </c>
      <c r="I25" s="150" t="str" cm="1">
        <f t="array" ref="I25">IF(OR(B25="",TRIM(H25)="-"),"",_xll.BDP(H25&amp;" Equity",I$8,"fill=b"))</f>
        <v>ESTADO DE SAO PAULO</v>
      </c>
      <c r="J25" s="150" t="str" cm="1">
        <f t="array" ref="J25">IF(OR($B25="",$H25="-"),"",_xll.BDP($H25&amp;" Equity",J$8,"fill=b"))</f>
        <v>Ba1</v>
      </c>
      <c r="K25" s="150" t="str" cm="1">
        <f t="array" ref="K25">IF(OR($B25="",$H25="-"),"",_xll.BDP($H25&amp;" Equity",K$8,"fill=b"))</f>
        <v>NR</v>
      </c>
      <c r="L25" s="258" t="str" cm="1">
        <f t="array" ref="L25">IF(OR($B25="",$H25="-"),"",_xll.BDP($H25&amp;" Equity",L$8,"fill=b"))</f>
        <v>BBu</v>
      </c>
    </row>
    <row r="26" spans="2:12" x14ac:dyDescent="0.25">
      <c r="B26" s="182" t="str">
        <v>EJ041844 Corp</v>
      </c>
      <c r="C26" s="150" t="str" cm="1">
        <f t="array" ref="C26">IF(B26="","",_xll.BDP($B26,C$8,"fill=b"))</f>
        <v>SULABZ Float 02/06/17</v>
      </c>
      <c r="D26" s="150" t="str" cm="1">
        <f t="array" ref="D26">IF(B26="","",_xll.BDP($B26,D$8,"fill=b"))</f>
        <v>SUL AMERICA SA</v>
      </c>
      <c r="E26" s="150" t="str" cm="1">
        <f t="array" ref="E26">IF(C26="","",_xll.BDP($B26,E$8,"fill=b"))</f>
        <v/>
      </c>
      <c r="F26" s="150" t="str" cm="1">
        <f t="array" ref="F26">IF(B26="","",_xll.BDP($B26,F$8,"fill=b"))</f>
        <v/>
      </c>
      <c r="G26" s="150" t="str" cm="1">
        <f t="array" ref="G26">IF(B26="","",_xll.BDP($B26,G$8,"fill=b"))</f>
        <v/>
      </c>
      <c r="H26" s="150" t="str" cm="1">
        <f t="array" ref="H26">IF(B26="","",IF(LEFT(_xlfn.SINGLE(_xll.BDP($B26,H$8,"fill=b")),1)="#","-",_xll.BDP($B26,H$8,"fill=b")))</f>
        <v>RDOR3 BZ</v>
      </c>
      <c r="I26" s="150" t="str" cm="1">
        <f t="array" ref="I26">IF(OR(B26="",TRIM(H26)="-"),"",_xll.BDP(H26&amp;" Equity",I$8,"fill=b"))</f>
        <v>REDE D'OR SAO LUIZ SA</v>
      </c>
      <c r="J26" s="150" t="str" cm="1">
        <f t="array" ref="J26">IF(OR($B26="",$H26="-"),"",_xll.BDP($H26&amp;" Equity",J$8,"fill=b"))</f>
        <v/>
      </c>
      <c r="K26" s="150" t="str" cm="1">
        <f t="array" ref="K26">IF(OR($B26="",$H26="-"),"",_xll.BDP($H26&amp;" Equity",K$8,"fill=b"))</f>
        <v>BB+</v>
      </c>
      <c r="L26" s="258" t="str" cm="1">
        <f t="array" ref="L26">IF(OR($B26="",$H26="-"),"",_xll.BDP($H26&amp;" Equity",L$8,"fill=b"))</f>
        <v>BBB-</v>
      </c>
    </row>
    <row r="27" spans="2:12" x14ac:dyDescent="0.25">
      <c r="B27" s="182" t="str">
        <v>EJ042957 Corp</v>
      </c>
      <c r="C27" s="150" t="str" cm="1">
        <f t="array" ref="C27">IF(B27="","",_xll.BDP($B27,C$8,"fill=b"))</f>
        <v>CSMGBZ Float 02/15/17</v>
      </c>
      <c r="D27" s="150" t="str" cm="1">
        <f t="array" ref="D27">IF(B27="","",_xll.BDP($B27,D$8,"fill=b"))</f>
        <v>CIA DE SANEAMENTO DE MG</v>
      </c>
      <c r="E27" s="150" t="str" cm="1">
        <f t="array" ref="E27">IF(C27="","",_xll.BDP($B27,E$8,"fill=b"))</f>
        <v/>
      </c>
      <c r="F27" s="150" t="str" cm="1">
        <f t="array" ref="F27">IF(B27="","",_xll.BDP($B27,F$8,"fill=b"))</f>
        <v>WR</v>
      </c>
      <c r="G27" s="150" t="str" cm="1">
        <f t="array" ref="G27">IF(B27="","",_xll.BDP($B27,G$8,"fill=b"))</f>
        <v/>
      </c>
      <c r="H27" s="150" t="str" cm="1">
        <f t="array" ref="H27">IF(B27="","",IF(LEFT(_xlfn.SINGLE(_xll.BDP($B27,H$8,"fill=b")),1)="#","-",_xll.BDP($B27,H$8,"fill=b")))</f>
        <v>1247Z BZ</v>
      </c>
      <c r="I27" s="150" t="str" cm="1">
        <f t="array" ref="I27">IF(OR(B27="",TRIM(H27)="-"),"",_xll.BDP(H27&amp;" Equity",I$8,"fill=b"))</f>
        <v>STATE OF MINAS GERAIS</v>
      </c>
      <c r="J27" s="150" t="str" cm="1">
        <f t="array" ref="J27">IF(OR($B27="",$H27="-"),"",_xll.BDP($H27&amp;" Equity",J$8,"fill=b"))</f>
        <v>B1</v>
      </c>
      <c r="K27" s="150" t="str" cm="1">
        <f t="array" ref="K27">IF(OR($B27="",$H27="-"),"",_xll.BDP($H27&amp;" Equity",K$8,"fill=b"))</f>
        <v>CCC+</v>
      </c>
      <c r="L27" s="258" t="str" cm="1">
        <f t="array" ref="L27">IF(OR($B27="",$H27="-"),"",_xll.BDP($H27&amp;" Equity",L$8,"fill=b"))</f>
        <v/>
      </c>
    </row>
    <row r="28" spans="2:12" x14ac:dyDescent="0.25">
      <c r="B28" s="182" t="str">
        <v>EJ042961 Corp</v>
      </c>
      <c r="C28" s="150" t="str" cm="1">
        <f t="array" ref="C28">IF(B28="","",_xll.BDP($B28,C$8,"fill=b"))</f>
        <v>CSMGBZ 6.0246 02/15/19</v>
      </c>
      <c r="D28" s="150" t="str" cm="1">
        <f t="array" ref="D28">IF(B28="","",_xll.BDP($B28,D$8,"fill=b"))</f>
        <v>CIA DE SANEAMENTO DE MG</v>
      </c>
      <c r="E28" s="150" t="str" cm="1">
        <f t="array" ref="E28">IF(C28="","",_xll.BDP($B28,E$8,"fill=b"))</f>
        <v/>
      </c>
      <c r="F28" s="150" t="str" cm="1">
        <f t="array" ref="F28">IF(B28="","",_xll.BDP($B28,F$8,"fill=b"))</f>
        <v>WR</v>
      </c>
      <c r="G28" s="150" t="str" cm="1">
        <f t="array" ref="G28">IF(B28="","",_xll.BDP($B28,G$8,"fill=b"))</f>
        <v/>
      </c>
      <c r="H28" s="150" t="str" cm="1">
        <f t="array" ref="H28">IF(B28="","",IF(LEFT(_xlfn.SINGLE(_xll.BDP($B28,H$8,"fill=b")),1)="#","-",_xll.BDP($B28,H$8,"fill=b")))</f>
        <v>1247Z BZ</v>
      </c>
      <c r="I28" s="150" t="str" cm="1">
        <f t="array" ref="I28">IF(OR(B28="",TRIM(H28)="-"),"",_xll.BDP(H28&amp;" Equity",I$8,"fill=b"))</f>
        <v>STATE OF MINAS GERAIS</v>
      </c>
      <c r="J28" s="150" t="str" cm="1">
        <f t="array" ref="J28">IF(OR($B28="",$H28="-"),"",_xll.BDP($H28&amp;" Equity",J$8,"fill=b"))</f>
        <v>B1</v>
      </c>
      <c r="K28" s="150" t="str" cm="1">
        <f t="array" ref="K28">IF(OR($B28="",$H28="-"),"",_xll.BDP($H28&amp;" Equity",K$8,"fill=b"))</f>
        <v>CCC+</v>
      </c>
      <c r="L28" s="258" t="str" cm="1">
        <f t="array" ref="L28">IF(OR($B28="",$H28="-"),"",_xll.BDP($H28&amp;" Equity",L$8,"fill=b"))</f>
        <v/>
      </c>
    </row>
    <row r="29" spans="2:12" x14ac:dyDescent="0.25">
      <c r="B29" s="182" t="str">
        <v>EJ043589 Corp</v>
      </c>
      <c r="C29" s="150" t="str" cm="1">
        <f t="array" ref="C29">IF(B29="","",_xll.BDP($B29,C$8,"fill=b"))</f>
        <v>CMIGBZ Float 02/15/17</v>
      </c>
      <c r="D29" s="150" t="str" cm="1">
        <f t="array" ref="D29">IF(B29="","",_xll.BDP($B29,D$8,"fill=b"))</f>
        <v>CEMIG GERACAO E TRANSM</v>
      </c>
      <c r="E29" s="150" t="str" cm="1">
        <f t="array" ref="E29">IF(C29="","",_xll.BDP($B29,E$8,"fill=b"))</f>
        <v/>
      </c>
      <c r="F29" s="150" t="str" cm="1">
        <f t="array" ref="F29">IF(B29="","",_xll.BDP($B29,F$8,"fill=b"))</f>
        <v>WR</v>
      </c>
      <c r="G29" s="150" t="str" cm="1">
        <f t="array" ref="G29">IF(B29="","",_xll.BDP($B29,G$8,"fill=b"))</f>
        <v/>
      </c>
      <c r="H29" s="150" t="str" cm="1">
        <f t="array" ref="H29">IF(B29="","",IF(LEFT(_xlfn.SINGLE(_xll.BDP($B29,H$8,"fill=b")),1)="#","-",_xll.BDP($B29,H$8,"fill=b")))</f>
        <v>CMIG4 BZ</v>
      </c>
      <c r="I29" s="150" t="str" cm="1">
        <f t="array" ref="I29">IF(OR(B29="",TRIM(H29)="-"),"",_xll.BDP(H29&amp;" Equity",I$8,"fill=b"))</f>
        <v>CIA ENERGETICA MINAS GER-PRF</v>
      </c>
      <c r="J29" s="150" t="str" cm="1">
        <f t="array" ref="J29">IF(OR($B29="",$H29="-"),"",_xll.BDP($H29&amp;" Equity",J$8,"fill=b"))</f>
        <v>Ba1</v>
      </c>
      <c r="K29" s="150" t="str" cm="1">
        <f t="array" ref="K29">IF(OR($B29="",$H29="-"),"",_xll.BDP($H29&amp;" Equity",K$8,"fill=b"))</f>
        <v>BB-</v>
      </c>
      <c r="L29" s="258" t="str" cm="1">
        <f t="array" ref="L29">IF(OR($B29="",$H29="-"),"",_xll.BDP($H29&amp;" Equity",L$8,"fill=b"))</f>
        <v>BB</v>
      </c>
    </row>
    <row r="30" spans="2:12" x14ac:dyDescent="0.25">
      <c r="B30" s="182" t="str">
        <v>EJ044783 Corp</v>
      </c>
      <c r="C30" s="150" t="str" cm="1">
        <f t="array" ref="C30">IF(B30="","",_xll.BDP($B30,C$8,"fill=b"))</f>
        <v>CYRBZ Float 02/15/17</v>
      </c>
      <c r="D30" s="150" t="str" cm="1">
        <f t="array" ref="D30">IF(B30="","",_xll.BDP($B30,D$8,"fill=b"))</f>
        <v>CYRELA COMMERCIAL PROPER</v>
      </c>
      <c r="E30" s="150" t="str" cm="1">
        <f t="array" ref="E30">IF(C30="","",_xll.BDP($B30,E$8,"fill=b"))</f>
        <v/>
      </c>
      <c r="F30" s="150" t="str" cm="1">
        <f t="array" ref="F30">IF(B30="","",_xll.BDP($B30,F$8,"fill=b"))</f>
        <v/>
      </c>
      <c r="G30" s="150" t="str" cm="1">
        <f t="array" ref="G30">IF(B30="","",_xll.BDP($B30,G$8,"fill=b"))</f>
        <v/>
      </c>
      <c r="H30" s="150" t="str" cm="1">
        <f t="array" ref="H30">IF(B30="","",IF(LEFT(_xlfn.SINGLE(_xll.BDP($B30,H$8,"fill=b")),1)="#","-",_xll.BDP($B30,H$8,"fill=b")))</f>
        <v>SYNE3 BZ</v>
      </c>
      <c r="I30" s="150" t="str" cm="1">
        <f t="array" ref="I30">IF(OR(B30="",TRIM(H30)="-"),"",_xll.BDP(H30&amp;" Equity",I$8,"fill=b"))</f>
        <v>SYN PROP E TECH SA</v>
      </c>
      <c r="J30" s="150" t="str" cm="1">
        <f t="array" ref="J30">IF(OR($B30="",$H30="-"),"",_xll.BDP($H30&amp;" Equity",J$8,"fill=b"))</f>
        <v/>
      </c>
      <c r="K30" s="150" t="str" cm="1">
        <f t="array" ref="K30">IF(OR($B30="",$H30="-"),"",_xll.BDP($H30&amp;" Equity",K$8,"fill=b"))</f>
        <v/>
      </c>
      <c r="L30" s="258" t="str" cm="1">
        <f t="array" ref="L30">IF(OR($B30="",$H30="-"),"",_xll.BDP($H30&amp;" Equity",L$8,"fill=b"))</f>
        <v>WD</v>
      </c>
    </row>
    <row r="31" spans="2:12" x14ac:dyDescent="0.25">
      <c r="B31" s="182" t="str">
        <v>EJ074230 Corp</v>
      </c>
      <c r="C31" s="150" t="str" cm="1">
        <f t="array" ref="C31">IF(B31="","",_xll.BDP($B31,C$8,"fill=b"))</f>
        <v>CCROBZ Float 05/28/17</v>
      </c>
      <c r="D31" s="150" t="str" cm="1">
        <f t="array" ref="D31">IF(B31="","",_xll.BDP($B31,D$8,"fill=b"))</f>
        <v>VIAOESTE SA</v>
      </c>
      <c r="E31" s="150" t="str" cm="1">
        <f t="array" ref="E31">IF(C31="","",_xll.BDP($B31,E$8,"fill=b"))</f>
        <v/>
      </c>
      <c r="F31" s="150" t="str" cm="1">
        <f t="array" ref="F31">IF(B31="","",_xll.BDP($B31,F$8,"fill=b"))</f>
        <v>WR</v>
      </c>
      <c r="G31" s="150" t="str" cm="1">
        <f t="array" ref="G31">IF(B31="","",_xll.BDP($B31,G$8,"fill=b"))</f>
        <v/>
      </c>
      <c r="H31" s="150" t="str" cm="1">
        <f t="array" ref="H31">IF(B31="","",IF(LEFT(_xlfn.SINGLE(_xll.BDP($B31,H$8,"fill=b")),1)="#","-",_xll.BDP($B31,H$8,"fill=b")))</f>
        <v>MOTV3 BZ</v>
      </c>
      <c r="I31" s="150" t="str" cm="1">
        <f t="array" ref="I31">IF(OR(B31="",TRIM(H31)="-"),"",_xll.BDP(H31&amp;" Equity",I$8,"fill=b"))</f>
        <v>MOTIVA INFRAESTRUTURA DE MOB</v>
      </c>
      <c r="J31" s="150" t="str" cm="1">
        <f t="array" ref="J31">IF(OR($B31="",$H31="-"),"",_xll.BDP($H31&amp;" Equity",J$8,"fill=b"))</f>
        <v/>
      </c>
      <c r="K31" s="150" t="str" cm="1">
        <f t="array" ref="K31">IF(OR($B31="",$H31="-"),"",_xll.BDP($H31&amp;" Equity",K$8,"fill=b"))</f>
        <v/>
      </c>
      <c r="L31" s="258" t="str" cm="1">
        <f t="array" ref="L31">IF(OR($B31="",$H31="-"),"",_xll.BDP($H31&amp;" Equity",L$8,"fill=b"))</f>
        <v/>
      </c>
    </row>
    <row r="32" spans="2:12" x14ac:dyDescent="0.25">
      <c r="B32" s="182" t="str">
        <v>EJ087310 Corp</v>
      </c>
      <c r="C32" s="150" t="str" cm="1">
        <f t="array" ref="C32">IF(B32="","",_xll.BDP($B32,C$8,"fill=b"))</f>
        <v>CMIGBZ 6 02/15/19</v>
      </c>
      <c r="D32" s="150" t="str" cm="1">
        <f t="array" ref="D32">IF(B32="","",_xll.BDP($B32,D$8,"fill=b"))</f>
        <v>CEMIG GERACAO E TRANSM</v>
      </c>
      <c r="E32" s="150" t="str" cm="1">
        <f t="array" ref="E32">IF(C32="","",_xll.BDP($B32,E$8,"fill=b"))</f>
        <v/>
      </c>
      <c r="F32" s="150" t="str" cm="1">
        <f t="array" ref="F32">IF(B32="","",_xll.BDP($B32,F$8,"fill=b"))</f>
        <v>WR</v>
      </c>
      <c r="G32" s="150" t="str" cm="1">
        <f t="array" ref="G32">IF(B32="","",_xll.BDP($B32,G$8,"fill=b"))</f>
        <v/>
      </c>
      <c r="H32" s="150" t="str" cm="1">
        <f t="array" ref="H32">IF(B32="","",IF(LEFT(_xlfn.SINGLE(_xll.BDP($B32,H$8,"fill=b")),1)="#","-",_xll.BDP($B32,H$8,"fill=b")))</f>
        <v>CMIG4 BZ</v>
      </c>
      <c r="I32" s="150" t="str">
        <f>IF(OR(B32="",TRIM(H32)="-"),"",_xll.BDP(H32&amp;" Equity",I$8,"fill=b"))</f>
        <v>CIA ENERGETICA MINAS GER-PRF</v>
      </c>
      <c r="J32" s="150" t="str">
        <f>IF(OR($B32="",$H32="-"),"",_xll.BDP($H32&amp;" Equity",J$8,"fill=b"))</f>
        <v>Ba1</v>
      </c>
      <c r="K32" s="150" t="str">
        <f>IF(OR($B32="",$H32="-"),"",_xll.BDP($H32&amp;" Equity",K$8,"fill=b"))</f>
        <v>BB-</v>
      </c>
      <c r="L32" s="258" t="str">
        <f>IF(OR($B32="",$H32="-"),"",_xll.BDP($H32&amp;" Equity",L$8,"fill=b"))</f>
        <v>BB</v>
      </c>
    </row>
    <row r="33" spans="2:12" x14ac:dyDescent="0.25">
      <c r="B33" s="182" t="str">
        <v>EJ088074 Corp</v>
      </c>
      <c r="C33" s="150" t="str" cm="1">
        <f t="array" ref="C33">IF(B33="","",_xll.BDP($B33,C$8,"fill=b"))</f>
        <v>CMIGBZ 6.2 02/15/22</v>
      </c>
      <c r="D33" s="150" t="str" cm="1">
        <f t="array" ref="D33">IF(B33="","",_xll.BDP($B33,D$8,"fill=b"))</f>
        <v>CEMIG GERACAO E TRANSM</v>
      </c>
      <c r="E33" s="150" t="str" cm="1">
        <f t="array" ref="E33">IF(C33="","",_xll.BDP($B33,E$8,"fill=b"))</f>
        <v/>
      </c>
      <c r="F33" s="150" t="str" cm="1">
        <f t="array" ref="F33">IF(B33="","",_xll.BDP($B33,F$8,"fill=b"))</f>
        <v>WR</v>
      </c>
      <c r="G33" s="150" t="str" cm="1">
        <f t="array" ref="G33">IF(B33="","",_xll.BDP($B33,G$8,"fill=b"))</f>
        <v/>
      </c>
      <c r="H33" s="150" t="str" cm="1">
        <f t="array" ref="H33">IF(B33="","",IF(LEFT(_xlfn.SINGLE(_xll.BDP($B33,H$8,"fill=b")),1)="#","-",_xll.BDP($B33,H$8,"fill=b")))</f>
        <v>CMIG4 BZ</v>
      </c>
      <c r="I33" s="150" t="str" cm="1">
        <f t="array" ref="I33">IF(OR(B33="",TRIM(H33)="-"),"",_xll.BDP(H33&amp;" Equity",I$8,"fill=b"))</f>
        <v>CIA ENERGETICA MINAS GER-PRF</v>
      </c>
      <c r="J33" s="150" t="str" cm="1">
        <f t="array" ref="J33">IF(OR($B33="",$H33="-"),"",_xll.BDP($H33&amp;" Equity",J$8,"fill=b"))</f>
        <v>Ba1</v>
      </c>
      <c r="K33" s="150" t="str" cm="1">
        <f t="array" ref="K33">IF(OR($B33="",$H33="-"),"",_xll.BDP($H33&amp;" Equity",K$8,"fill=b"))</f>
        <v>BB-</v>
      </c>
      <c r="L33" s="258" t="str" cm="1">
        <f t="array" ref="L33">IF(OR($B33="",$H33="-"),"",_xll.BDP($H33&amp;" Equity",L$8,"fill=b"))</f>
        <v>BB</v>
      </c>
    </row>
    <row r="34" spans="2:12" x14ac:dyDescent="0.25">
      <c r="B34" s="182" t="str">
        <v>EJ113945 Corp</v>
      </c>
      <c r="C34" s="150" t="str" cm="1">
        <f t="array" ref="C34">IF(B34="","",_xll.BDP($B34,C$8,"fill=b"))</f>
        <v>PDGRBZ 6.56 03/15/18</v>
      </c>
      <c r="D34" s="150" t="str" cm="1">
        <f t="array" ref="D34">IF(B34="","",_xll.BDP($B34,D$8,"fill=b"))</f>
        <v>PDG REALTY SA EMPREEND</v>
      </c>
      <c r="E34" s="150" t="str" cm="1">
        <f t="array" ref="E34">IF(C34="","",_xll.BDP($B34,E$8,"fill=b"))</f>
        <v/>
      </c>
      <c r="F34" s="150" t="str" cm="1">
        <f t="array" ref="F34">IF(B34="","",_xll.BDP($B34,F$8,"fill=b"))</f>
        <v>WR</v>
      </c>
      <c r="G34" s="150" t="str" cm="1">
        <f t="array" ref="G34">IF(B34="","",_xll.BDP($B34,G$8,"fill=b"))</f>
        <v/>
      </c>
      <c r="H34" s="150" t="str" cm="1">
        <f t="array" ref="H34">IF(B34="","",IF(LEFT(_xlfn.SINGLE(_xll.BDP($B34,H$8,"fill=b")),1)="#","-",_xll.BDP($B34,H$8,"fill=b")))</f>
        <v>PDGR3 BZ</v>
      </c>
      <c r="I34" s="150" t="str" cm="1">
        <f t="array" ref="I34">IF(OR(B34="",TRIM(H34)="-"),"",_xll.BDP(H34&amp;" Equity",I$8,"fill=b"))</f>
        <v>PDG REALTY SA</v>
      </c>
      <c r="J34" s="150" t="str" cm="1">
        <f t="array" ref="J34">IF(OR($B34="",$H34="-"),"",_xll.BDP($H34&amp;" Equity",J$8,"fill=b"))</f>
        <v/>
      </c>
      <c r="K34" s="150" t="str" cm="1">
        <f t="array" ref="K34">IF(OR($B34="",$H34="-"),"",_xll.BDP($H34&amp;" Equity",K$8,"fill=b"))</f>
        <v>NR</v>
      </c>
      <c r="L34" s="258" t="str" cm="1">
        <f t="array" ref="L34">IF(OR($B34="",$H34="-"),"",_xll.BDP($H34&amp;" Equity",L$8,"fill=b"))</f>
        <v/>
      </c>
    </row>
    <row r="35" spans="2:12" x14ac:dyDescent="0.25">
      <c r="B35" s="182" t="str">
        <v>EJ195861 Corp</v>
      </c>
      <c r="C35" s="150" t="str" cm="1">
        <f t="array" ref="C35">IF(B35="","",_xll.BDP($B35,C$8,"fill=b"))</f>
        <v>CTAXBZ Float 08/15/30</v>
      </c>
      <c r="D35" s="150" t="str" cm="1">
        <f t="array" ref="D35">IF(B35="","",_xll.BDP($B35,D$8,"fill=b"))</f>
        <v>CONTAX PARTICIPACOES SA</v>
      </c>
      <c r="E35" s="150" t="str" cm="1">
        <f t="array" ref="E35">IF(C35="","",_xll.BDP($B35,E$8,"fill=b"))</f>
        <v/>
      </c>
      <c r="F35" s="150" t="str" cm="1">
        <f t="array" ref="F35">IF(B35="","",_xll.BDP($B35,F$8,"fill=b"))</f>
        <v/>
      </c>
      <c r="G35" s="150" t="str" cm="1">
        <f t="array" ref="G35">IF(B35="","",_xll.BDP($B35,G$8,"fill=b"))</f>
        <v/>
      </c>
      <c r="H35" s="150" t="str" cm="1">
        <f t="array" ref="H35">IF(B35="","",IF(LEFT(_xlfn.SINGLE(_xll.BDP($B35,H$8,"fill=b")),1)="#","-",_xll.BDP($B35,H$8,"fill=b")))</f>
        <v>CTAX4 BZ</v>
      </c>
      <c r="I35" s="150" t="str" cm="1">
        <f t="array" ref="I35">IF(OR(B35="",TRIM(H35)="-"),"",_xll.BDP(H35&amp;" Equity",I$8,"fill=b"))</f>
        <v>CONTAX PARTICIPACOES SA</v>
      </c>
      <c r="J35" s="150" t="str" cm="1">
        <f t="array" ref="J35">IF(OR($B35="",$H35="-"),"",_xll.BDP($H35&amp;" Equity",J$8,"fill=b"))</f>
        <v/>
      </c>
      <c r="K35" s="150" t="str" cm="1">
        <f t="array" ref="K35">IF(OR($B35="",$H35="-"),"",_xll.BDP($H35&amp;" Equity",K$8,"fill=b"))</f>
        <v/>
      </c>
      <c r="L35" s="258" t="str" cm="1">
        <f t="array" ref="L35">IF(OR($B35="",$H35="-"),"",_xll.BDP($H35&amp;" Equity",L$8,"fill=b"))</f>
        <v/>
      </c>
    </row>
    <row r="36" spans="2:12" x14ac:dyDescent="0.25">
      <c r="B36" s="182" t="str">
        <v>EJ199800 Corp</v>
      </c>
      <c r="C36" s="150" t="str" cm="1">
        <f t="array" ref="C36">IF(B36="","",_xll.BDP($B36,C$8,"fill=b"))</f>
        <v>ENGIBZ 10.7011 07/15/19</v>
      </c>
      <c r="D36" s="150" t="str" cm="1">
        <f t="array" ref="D36">IF(B36="","",_xll.BDP($B36,D$8,"fill=b"))</f>
        <v>ENERGISA SA</v>
      </c>
      <c r="E36" s="150" t="str" cm="1">
        <f t="array" ref="E36">IF(C36="","",_xll.BDP($B36,E$8,"fill=b"))</f>
        <v/>
      </c>
      <c r="F36" s="150" t="str" cm="1">
        <f t="array" ref="F36">IF(B36="","",_xll.BDP($B36,F$8,"fill=b"))</f>
        <v>WR</v>
      </c>
      <c r="G36" s="150" t="str" cm="1">
        <f t="array" ref="G36">IF(B36="","",_xll.BDP($B36,G$8,"fill=b"))</f>
        <v/>
      </c>
      <c r="H36" s="150" t="str" cm="1">
        <f t="array" ref="H36">IF(B36="","",IF(LEFT(_xlfn.SINGLE(_xll.BDP($B36,H$8,"fill=b")),1)="#","-",_xll.BDP($B36,H$8,"fill=b")))</f>
        <v>ENGI3 BZ</v>
      </c>
      <c r="I36" s="150" t="str" cm="1">
        <f t="array" ref="I36">IF(OR(B36="",TRIM(H36)="-"),"",_xll.BDP(H36&amp;" Equity",I$8,"fill=b"))</f>
        <v>ENERGISA S.A.</v>
      </c>
      <c r="J36" s="150" t="str" cm="1">
        <f t="array" ref="J36">IF(OR($B36="",$H36="-"),"",_xll.BDP($H36&amp;" Equity",J$8,"fill=b"))</f>
        <v/>
      </c>
      <c r="K36" s="150" t="str" cm="1">
        <f t="array" ref="K36">IF(OR($B36="",$H36="-"),"",_xll.BDP($H36&amp;" Equity",K$8,"fill=b"))</f>
        <v>BB</v>
      </c>
      <c r="L36" s="258" t="str" cm="1">
        <f t="array" ref="L36">IF(OR($B36="",$H36="-"),"",_xll.BDP($H36&amp;" Equity",L$8,"fill=b"))</f>
        <v>BB+</v>
      </c>
    </row>
    <row r="37" spans="2:12" x14ac:dyDescent="0.25">
      <c r="B37" s="182" t="str">
        <v>EJ225953 Corp</v>
      </c>
      <c r="C37" s="150" t="str" cm="1">
        <f t="array" ref="C37">IF(B37="","",_xll.BDP($B37,C$8,"fill=b"))</f>
        <v>BRPRSA Float 07/15/17</v>
      </c>
      <c r="D37" s="150" t="str" cm="1">
        <f t="array" ref="D37">IF(B37="","",_xll.BDP($B37,D$8,"fill=b"))</f>
        <v>BR PROPERTIES SA</v>
      </c>
      <c r="E37" s="150" t="str" cm="1">
        <f t="array" ref="E37">IF(C37="","",_xll.BDP($B37,E$8,"fill=b"))</f>
        <v/>
      </c>
      <c r="F37" s="150" t="str" cm="1">
        <f t="array" ref="F37">IF(B37="","",_xll.BDP($B37,F$8,"fill=b"))</f>
        <v/>
      </c>
      <c r="G37" s="150" t="str" cm="1">
        <f t="array" ref="G37">IF(B37="","",_xll.BDP($B37,G$8,"fill=b"))</f>
        <v/>
      </c>
      <c r="H37" s="150" t="str" cm="1">
        <f t="array" ref="H37">IF(B37="","",IF(LEFT(_xlfn.SINGLE(_xll.BDP($B37,H$8,"fill=b")),1)="#","-",_xll.BDP($B37,H$8,"fill=b")))</f>
        <v>GPIV33 BZ</v>
      </c>
      <c r="I37" s="150" t="str" cm="1">
        <f t="array" ref="I37">IF(OR(B37="",TRIM(H37)="-"),"",_xll.BDP(H37&amp;" Equity",I$8,"fill=b"))</f>
        <v>GP INVESTMENTS LTD - BDR</v>
      </c>
      <c r="J37" s="150" t="str" cm="1">
        <f t="array" ref="J37">IF(OR($B37="",$H37="-"),"",_xll.BDP($H37&amp;" Equity",J$8,"fill=b"))</f>
        <v/>
      </c>
      <c r="K37" s="150" t="str" cm="1">
        <f t="array" ref="K37">IF(OR($B37="",$H37="-"),"",_xll.BDP($H37&amp;" Equity",K$8,"fill=b"))</f>
        <v>NR</v>
      </c>
      <c r="L37" s="258" t="str" cm="1">
        <f t="array" ref="L37">IF(OR($B37="",$H37="-"),"",_xll.BDP($H37&amp;" Equity",L$8,"fill=b"))</f>
        <v/>
      </c>
    </row>
    <row r="38" spans="2:12" x14ac:dyDescent="0.25">
      <c r="B38" s="182" t="str">
        <v>EJ228050 Corp</v>
      </c>
      <c r="C38" s="150" t="str" cm="1">
        <f t="array" ref="C38">IF(B38="","",_xll.BDP($B38,C$8,"fill=b"))</f>
        <v>CONTIE 8 06/15/28</v>
      </c>
      <c r="D38" s="150" t="str" cm="1">
        <f t="array" ref="D38">IF(B38="","",_xll.BDP($B38,D$8,"fill=b"))</f>
        <v>CONCESSIONARIA ROD TIETE</v>
      </c>
      <c r="E38" s="150" t="str" cm="1">
        <f t="array" ref="E38">IF(C38="","",_xll.BDP($B38,E$8,"fill=b"))</f>
        <v/>
      </c>
      <c r="F38" s="150" t="str" cm="1">
        <f t="array" ref="F38">IF(B38="","",_xll.BDP($B38,F$8,"fill=b"))</f>
        <v>WR</v>
      </c>
      <c r="G38" s="150" t="str" cm="1">
        <f t="array" ref="G38">IF(B38="","",_xll.BDP($B38,G$8,"fill=b"))</f>
        <v/>
      </c>
      <c r="H38" s="150" t="str" cm="1">
        <f t="array" ref="H38">IF(B38="","",IF(LEFT(_xlfn.SINGLE(_xll.BDP($B38,H$8,"fill=b")),1)="#","-",_xll.BDP($B38,H$8,"fill=b")))</f>
        <v>0294480D BZ</v>
      </c>
      <c r="I38" s="150" t="str" cm="1">
        <f t="array" ref="I38">IF(OR(B38="",TRIM(H38)="-"),"",_xll.BDP(H38&amp;" Equity",I$8,"fill=b"))</f>
        <v>CONCESSIONARIA RODOVIAS DO T</v>
      </c>
      <c r="J38" s="150" t="str" cm="1">
        <f t="array" ref="J38">IF(OR($B38="",$H38="-"),"",_xll.BDP($H38&amp;" Equity",J$8,"fill=b"))</f>
        <v/>
      </c>
      <c r="K38" s="150" t="str" cm="1">
        <f t="array" ref="K38">IF(OR($B38="",$H38="-"),"",_xll.BDP($H38&amp;" Equity",K$8,"fill=b"))</f>
        <v/>
      </c>
      <c r="L38" s="258" t="str" cm="1">
        <f t="array" ref="L38">IF(OR($B38="",$H38="-"),"",_xll.BDP($H38&amp;" Equity",L$8,"fill=b"))</f>
        <v/>
      </c>
    </row>
    <row r="39" spans="2:12" x14ac:dyDescent="0.25">
      <c r="B39" s="182" t="str">
        <v>EJ238804 Corp</v>
      </c>
      <c r="C39" s="150" t="str" cm="1">
        <f t="array" ref="C39">IF(B39="","",_xll.BDP($B39,C$8,"fill=b"))</f>
        <v>LRENSA Float 06/15/18</v>
      </c>
      <c r="D39" s="150" t="str" cm="1">
        <f t="array" ref="D39">IF(B39="","",_xll.BDP($B39,D$8,"fill=b"))</f>
        <v>LOJAS RENNER SA</v>
      </c>
      <c r="E39" s="150" t="str" cm="1">
        <f t="array" ref="E39">IF(C39="","",_xll.BDP($B39,E$8,"fill=b"))</f>
        <v/>
      </c>
      <c r="F39" s="150" t="str" cm="1">
        <f t="array" ref="F39">IF(B39="","",_xll.BDP($B39,F$8,"fill=b"))</f>
        <v/>
      </c>
      <c r="G39" s="150" t="str" cm="1">
        <f t="array" ref="G39">IF(B39="","",_xll.BDP($B39,G$8,"fill=b"))</f>
        <v/>
      </c>
      <c r="H39" s="150" t="str" cm="1">
        <f t="array" ref="H39">IF(B39="","",IF(LEFT(_xlfn.SINGLE(_xll.BDP($B39,H$8,"fill=b")),1)="#","-",_xll.BDP($B39,H$8,"fill=b")))</f>
        <v>LREN3 BZ</v>
      </c>
      <c r="I39" s="150" t="str" cm="1">
        <f t="array" ref="I39">IF(OR(B39="",TRIM(H39)="-"),"",_xll.BDP(H39&amp;" Equity",I$8,"fill=b"))</f>
        <v>LOJAS RENNER S.A.</v>
      </c>
      <c r="J39" s="150" t="str" cm="1">
        <f t="array" ref="J39">IF(OR($B39="",$H39="-"),"",_xll.BDP($H39&amp;" Equity",J$8,"fill=b"))</f>
        <v/>
      </c>
      <c r="K39" s="150" t="str" cm="1">
        <f t="array" ref="K39">IF(OR($B39="",$H39="-"),"",_xll.BDP($H39&amp;" Equity",K$8,"fill=b"))</f>
        <v/>
      </c>
      <c r="L39" s="258" t="str" cm="1">
        <f t="array" ref="L39">IF(OR($B39="",$H39="-"),"",_xll.BDP($H39&amp;" Equity",L$8,"fill=b"))</f>
        <v/>
      </c>
    </row>
    <row r="40" spans="2:12" x14ac:dyDescent="0.25">
      <c r="B40" s="182" t="str">
        <v>EJ238814 Corp</v>
      </c>
      <c r="C40" s="150" t="str" cm="1">
        <f t="array" ref="C40">IF(B40="","",_xll.BDP($B40,C$8,"fill=b"))</f>
        <v>LRENSA 5.7 06/15/19</v>
      </c>
      <c r="D40" s="150" t="str" cm="1">
        <f t="array" ref="D40">IF(B40="","",_xll.BDP($B40,D$8,"fill=b"))</f>
        <v>LOJAS RENNER SA</v>
      </c>
      <c r="E40" s="150" t="str" cm="1">
        <f t="array" ref="E40">IF(C40="","",_xll.BDP($B40,E$8,"fill=b"))</f>
        <v/>
      </c>
      <c r="F40" s="150" t="str" cm="1">
        <f t="array" ref="F40">IF(B40="","",_xll.BDP($B40,F$8,"fill=b"))</f>
        <v/>
      </c>
      <c r="G40" s="150" t="str" cm="1">
        <f t="array" ref="G40">IF(B40="","",_xll.BDP($B40,G$8,"fill=b"))</f>
        <v/>
      </c>
      <c r="H40" s="150" t="str" cm="1">
        <f t="array" ref="H40">IF(B40="","",IF(LEFT(_xlfn.SINGLE(_xll.BDP($B40,H$8,"fill=b")),1)="#","-",_xll.BDP($B40,H$8,"fill=b")))</f>
        <v>LREN3 BZ</v>
      </c>
      <c r="I40" s="150" t="str" cm="1">
        <f t="array" ref="I40">IF(OR(B40="",TRIM(H40)="-"),"",_xll.BDP(H40&amp;" Equity",I$8,"fill=b"))</f>
        <v>LOJAS RENNER S.A.</v>
      </c>
      <c r="J40" s="150" t="str" cm="1">
        <f t="array" ref="J40">IF(OR($B40="",$H40="-"),"",_xll.BDP($H40&amp;" Equity",J$8,"fill=b"))</f>
        <v/>
      </c>
      <c r="K40" s="150" t="str" cm="1">
        <f t="array" ref="K40">IF(OR($B40="",$H40="-"),"",_xll.BDP($H40&amp;" Equity",K$8,"fill=b"))</f>
        <v/>
      </c>
      <c r="L40" s="258" t="str" cm="1">
        <f t="array" ref="L40">IF(OR($B40="",$H40="-"),"",_xll.BDP($H40&amp;" Equity",L$8,"fill=b"))</f>
        <v/>
      </c>
    </row>
    <row r="41" spans="2:12" x14ac:dyDescent="0.25">
      <c r="B41" s="182" t="str">
        <v>EJ252000 Corp</v>
      </c>
      <c r="C41" s="150" t="str" cm="1">
        <f t="array" ref="C41">IF(B41="","",_xll.BDP($B41,C$8,"fill=b"))</f>
        <v>MRSLOG Float 07/18/18</v>
      </c>
      <c r="D41" s="150" t="str" cm="1">
        <f t="array" ref="D41">IF(B41="","",_xll.BDP($B41,D$8,"fill=b"))</f>
        <v>MRS LOGISTICA SA</v>
      </c>
      <c r="E41" s="150" t="str" cm="1">
        <f t="array" ref="E41">IF(C41="","",_xll.BDP($B41,E$8,"fill=b"))</f>
        <v/>
      </c>
      <c r="F41" s="150" t="str" cm="1">
        <f t="array" ref="F41">IF(B41="","",_xll.BDP($B41,F$8,"fill=b"))</f>
        <v/>
      </c>
      <c r="G41" s="150" t="str" cm="1">
        <f t="array" ref="G41">IF(B41="","",_xll.BDP($B41,G$8,"fill=b"))</f>
        <v/>
      </c>
      <c r="H41" s="150" t="str" cm="1">
        <f t="array" ref="H41">IF(B41="","",IF(LEFT(_xlfn.SINGLE(_xll.BDP($B41,H$8,"fill=b")),1)="#","-",_xll.BDP($B41,H$8,"fill=b")))</f>
        <v>MRSA5B BZ</v>
      </c>
      <c r="I41" s="150" t="str" cm="1">
        <f t="array" ref="I41">IF(OR(B41="",TRIM(H41)="-"),"",_xll.BDP(H41&amp;" Equity",I$8,"fill=b"))</f>
        <v>MRS LOGISTICA SA-PREF A</v>
      </c>
      <c r="J41" s="150" t="str" cm="1">
        <f t="array" ref="J41">IF(OR($B41="",$H41="-"),"",_xll.BDP($H41&amp;" Equity",J$8,"fill=b"))</f>
        <v/>
      </c>
      <c r="K41" s="150" t="str" cm="1">
        <f t="array" ref="K41">IF(OR($B41="",$H41="-"),"",_xll.BDP($H41&amp;" Equity",K$8,"fill=b"))</f>
        <v>BB</v>
      </c>
      <c r="L41" s="258" t="str" cm="1">
        <f t="array" ref="L41">IF(OR($B41="",$H41="-"),"",_xll.BDP($H41&amp;" Equity",L$8,"fill=b"))</f>
        <v>BBB-</v>
      </c>
    </row>
    <row r="42" spans="2:12" x14ac:dyDescent="0.25">
      <c r="B42" s="182" t="str">
        <v>EJ264637 Corp</v>
      </c>
      <c r="C42" s="150" t="str" cm="1">
        <f t="array" ref="C42">IF(B42="","",_xll.BDP($B42,C$8,"fill=b"))</f>
        <v>ANDRA 9.8 06/15/22</v>
      </c>
      <c r="D42" s="150" t="str" cm="1">
        <f t="array" ref="D42">IF(B42="","",_xll.BDP($B42,D$8,"fill=b"))</f>
        <v>ANDRADE GUTIERREZ PART</v>
      </c>
      <c r="E42" s="150" t="str" cm="1">
        <f t="array" ref="E42">IF(C42="","",_xll.BDP($B42,E$8,"fill=b"))</f>
        <v/>
      </c>
      <c r="F42" s="150" t="str" cm="1">
        <f t="array" ref="F42">IF(B42="","",_xll.BDP($B42,F$8,"fill=b"))</f>
        <v/>
      </c>
      <c r="G42" s="150" t="str" cm="1">
        <f t="array" ref="G42">IF(B42="","",_xll.BDP($B42,G$8,"fill=b"))</f>
        <v/>
      </c>
      <c r="H42" s="150" t="str" cm="1">
        <f t="array" ref="H42">IF(B42="","",IF(LEFT(_xlfn.SINGLE(_xll.BDP($B42,H$8,"fill=b")),1)="#","-",_xll.BDP($B42,H$8,"fill=b")))</f>
        <v>3590197Z BZ</v>
      </c>
      <c r="I42" s="150" t="str" cm="1">
        <f t="array" ref="I42">IF(OR(B42="",TRIM(H42)="-"),"",_xll.BDP(H42&amp;" Equity",I$8,"fill=b"))</f>
        <v>ANDRADE GUTIERREZ S/A</v>
      </c>
      <c r="J42" s="150" t="str" cm="1">
        <f t="array" ref="J42">IF(OR($B42="",$H42="-"),"",_xll.BDP($H42&amp;" Equity",J$8,"fill=b"))</f>
        <v/>
      </c>
      <c r="K42" s="150" t="str" cm="1">
        <f t="array" ref="K42">IF(OR($B42="",$H42="-"),"",_xll.BDP($H42&amp;" Equity",K$8,"fill=b"))</f>
        <v/>
      </c>
      <c r="L42" s="258" t="str" cm="1">
        <f t="array" ref="L42">IF(OR($B42="",$H42="-"),"",_xll.BDP($H42&amp;" Equity",L$8,"fill=b"))</f>
        <v/>
      </c>
    </row>
    <row r="43" spans="2:12" x14ac:dyDescent="0.25">
      <c r="B43" s="182" t="str">
        <v>EJ297761 Corp</v>
      </c>
      <c r="C43" s="150" t="str" cm="1">
        <f t="array" ref="C43">IF(B43="","",_xll.BDP($B43,C$8,"fill=b"))</f>
        <v>ENGIBZ Float 07/15/17</v>
      </c>
      <c r="D43" s="150" t="str" cm="1">
        <f t="array" ref="D43">IF(B43="","",_xll.BDP($B43,D$8,"fill=b"))</f>
        <v>ENERGISA SA</v>
      </c>
      <c r="E43" s="150" t="str" cm="1">
        <f t="array" ref="E43">IF(C43="","",_xll.BDP($B43,E$8,"fill=b"))</f>
        <v/>
      </c>
      <c r="F43" s="150" t="str" cm="1">
        <f t="array" ref="F43">IF(B43="","",_xll.BDP($B43,F$8,"fill=b"))</f>
        <v>WR</v>
      </c>
      <c r="G43" s="150" t="str" cm="1">
        <f t="array" ref="G43">IF(B43="","",_xll.BDP($B43,G$8,"fill=b"))</f>
        <v/>
      </c>
      <c r="H43" s="150" t="str" cm="1">
        <f t="array" ref="H43">IF(B43="","",IF(LEFT(_xlfn.SINGLE(_xll.BDP($B43,H$8,"fill=b")),1)="#","-",_xll.BDP($B43,H$8,"fill=b")))</f>
        <v>ENGI3 BZ</v>
      </c>
      <c r="I43" s="150" t="str" cm="1">
        <f t="array" ref="I43">IF(OR(B43="",TRIM(H43)="-"),"",_xll.BDP(H43&amp;" Equity",I$8,"fill=b"))</f>
        <v>ENERGISA S.A.</v>
      </c>
      <c r="J43" s="150" t="str" cm="1">
        <f t="array" ref="J43">IF(OR($B43="",$H43="-"),"",_xll.BDP($H43&amp;" Equity",J$8,"fill=b"))</f>
        <v/>
      </c>
      <c r="K43" s="150" t="str" cm="1">
        <f t="array" ref="K43">IF(OR($B43="",$H43="-"),"",_xll.BDP($H43&amp;" Equity",K$8,"fill=b"))</f>
        <v>BB</v>
      </c>
      <c r="L43" s="258" t="str" cm="1">
        <f t="array" ref="L43">IF(OR($B43="",$H43="-"),"",_xll.BDP($H43&amp;" Equity",L$8,"fill=b"))</f>
        <v>BB+</v>
      </c>
    </row>
    <row r="44" spans="2:12" x14ac:dyDescent="0.25">
      <c r="B44" s="182" t="str">
        <v>EJ305916 Corp</v>
      </c>
      <c r="C44" s="150" t="str" cm="1">
        <f t="array" ref="C44">IF(B44="","",_xll.BDP($B44,C$8,"fill=b"))</f>
        <v>CBEEBZ Float 06/15/17</v>
      </c>
      <c r="D44" s="150" t="str" cm="1">
        <f t="array" ref="D44">IF(B44="","",_xll.BDP($B44,D$8,"fill=b"))</f>
        <v>AMPLA ENERGIA E SERVICOS</v>
      </c>
      <c r="E44" s="150" t="str" cm="1">
        <f t="array" ref="E44">IF(C44="","",_xll.BDP($B44,E$8,"fill=b"))</f>
        <v/>
      </c>
      <c r="F44" s="150" t="str" cm="1">
        <f t="array" ref="F44">IF(B44="","",_xll.BDP($B44,F$8,"fill=b"))</f>
        <v/>
      </c>
      <c r="G44" s="150" t="str" cm="1">
        <f t="array" ref="G44">IF(B44="","",_xll.BDP($B44,G$8,"fill=b"))</f>
        <v/>
      </c>
      <c r="H44" s="150" t="str" cm="1">
        <f t="array" ref="H44">IF(B44="","",IF(LEFT(_xlfn.SINGLE(_xll.BDP($B44,H$8,"fill=b")),1)="#","-",_xll.BDP($B44,H$8,"fill=b")))</f>
        <v>ENEL IM</v>
      </c>
      <c r="I44" s="150" t="str" cm="1">
        <f t="array" ref="I44">IF(OR(B44="",TRIM(H44)="-"),"",_xll.BDP(H44&amp;" Equity",I$8,"fill=b"))</f>
        <v>ENEL SPA</v>
      </c>
      <c r="J44" s="150" t="str" cm="1">
        <f t="array" ref="J44">IF(OR($B44="",$H44="-"),"",_xll.BDP($H44&amp;" Equity",J$8,"fill=b"))</f>
        <v>Baa1</v>
      </c>
      <c r="K44" s="150" t="str" cm="1">
        <f t="array" ref="K44">IF(OR($B44="",$H44="-"),"",_xll.BDP($H44&amp;" Equity",K$8,"fill=b"))</f>
        <v>BBB</v>
      </c>
      <c r="L44" s="258" t="str" cm="1">
        <f t="array" ref="L44">IF(OR($B44="",$H44="-"),"",_xll.BDP($H44&amp;" Equity",L$8,"fill=b"))</f>
        <v/>
      </c>
    </row>
    <row r="45" spans="2:12" x14ac:dyDescent="0.25">
      <c r="B45" s="182" t="str">
        <v>EJ313066 Corp</v>
      </c>
      <c r="C45" s="150" t="str" cm="1">
        <f t="array" ref="C45">IF(B45="","",_xll.BDP($B45,C$8,"fill=b"))</f>
        <v>BRPRSA 5.85 07/15/19</v>
      </c>
      <c r="D45" s="150" t="str" cm="1">
        <f t="array" ref="D45">IF(B45="","",_xll.BDP($B45,D$8,"fill=b"))</f>
        <v>BR PROPERTIES SA</v>
      </c>
      <c r="E45" s="150" t="str" cm="1">
        <f t="array" ref="E45">IF(C45="","",_xll.BDP($B45,E$8,"fill=b"))</f>
        <v/>
      </c>
      <c r="F45" s="150" t="str" cm="1">
        <f t="array" ref="F45">IF(B45="","",_xll.BDP($B45,F$8,"fill=b"))</f>
        <v/>
      </c>
      <c r="G45" s="150" t="str" cm="1">
        <f t="array" ref="G45">IF(B45="","",_xll.BDP($B45,G$8,"fill=b"))</f>
        <v/>
      </c>
      <c r="H45" s="150" t="str" cm="1">
        <f t="array" ref="H45">IF(B45="","",IF(LEFT(_xlfn.SINGLE(_xll.BDP($B45,H$8,"fill=b")),1)="#","-",_xll.BDP($B45,H$8,"fill=b")))</f>
        <v>GPIV33 BZ</v>
      </c>
      <c r="I45" s="150" t="str" cm="1">
        <f t="array" ref="I45">IF(OR(B45="",TRIM(H45)="-"),"",_xll.BDP(H45&amp;" Equity",I$8,"fill=b"))</f>
        <v>GP INVESTMENTS LTD - BDR</v>
      </c>
      <c r="J45" s="150" t="str" cm="1">
        <f t="array" ref="J45">IF(OR($B45="",$H45="-"),"",_xll.BDP($H45&amp;" Equity",J$8,"fill=b"))</f>
        <v/>
      </c>
      <c r="K45" s="150" t="str" cm="1">
        <f t="array" ref="K45">IF(OR($B45="",$H45="-"),"",_xll.BDP($H45&amp;" Equity",K$8,"fill=b"))</f>
        <v>NR</v>
      </c>
      <c r="L45" s="258" t="str" cm="1">
        <f t="array" ref="L45">IF(OR($B45="",$H45="-"),"",_xll.BDP($H45&amp;" Equity",L$8,"fill=b"))</f>
        <v/>
      </c>
    </row>
    <row r="46" spans="2:12" x14ac:dyDescent="0.25">
      <c r="B46" s="182" t="str">
        <v>EJ324464 Corp</v>
      </c>
      <c r="C46" s="150" t="str" cm="1">
        <f t="array" ref="C46">IF(B46="","",_xll.BDP($B46,C$8,"fill=b"))</f>
        <v>TAEEBZ Float 10/15/17</v>
      </c>
      <c r="D46" s="150" t="str" cm="1">
        <f t="array" ref="D46">IF(B46="","",_xll.BDP($B46,D$8,"fill=b"))</f>
        <v>TRANSMISSORA ALIANCA EN</v>
      </c>
      <c r="E46" s="150" t="str" cm="1">
        <f t="array" ref="E46">IF(C46="","",_xll.BDP($B46,E$8,"fill=b"))</f>
        <v/>
      </c>
      <c r="F46" s="150" t="str" cm="1">
        <f t="array" ref="F46">IF(B46="","",_xll.BDP($B46,F$8,"fill=b"))</f>
        <v/>
      </c>
      <c r="G46" s="150" t="str" cm="1">
        <f t="array" ref="G46">IF(B46="","",_xll.BDP($B46,G$8,"fill=b"))</f>
        <v/>
      </c>
      <c r="H46" s="150" t="str" cm="1">
        <f t="array" ref="H46">IF(B46="","",IF(LEFT(_xlfn.SINGLE(_xll.BDP($B46,H$8,"fill=b")),1)="#","-",_xll.BDP($B46,H$8,"fill=b")))</f>
        <v>TAEE11 BZ</v>
      </c>
      <c r="I46" s="150" t="str" cm="1">
        <f t="array" ref="I46">IF(OR(B46="",TRIM(H46)="-"),"",_xll.BDP(H46&amp;" Equity",I$8,"fill=b"))</f>
        <v>TRANSMISSORA ALIANCA DE-UNIT</v>
      </c>
      <c r="J46" s="150" t="str" cm="1">
        <f t="array" ref="J46">IF(OR($B46="",$H46="-"),"",_xll.BDP($H46&amp;" Equity",J$8,"fill=b"))</f>
        <v/>
      </c>
      <c r="K46" s="150" t="str" cm="1">
        <f t="array" ref="K46">IF(OR($B46="",$H46="-"),"",_xll.BDP($H46&amp;" Equity",K$8,"fill=b"))</f>
        <v>NR</v>
      </c>
      <c r="L46" s="258" t="str" cm="1">
        <f t="array" ref="L46">IF(OR($B46="",$H46="-"),"",_xll.BDP($H46&amp;" Equity",L$8,"fill=b"))</f>
        <v>BB+</v>
      </c>
    </row>
    <row r="47" spans="2:12" x14ac:dyDescent="0.25">
      <c r="B47" s="182" t="str">
        <v>EJ324474 Corp</v>
      </c>
      <c r="C47" s="150" t="str" cm="1">
        <f t="array" ref="C47">IF(B47="","",_xll.BDP($B47,C$8,"fill=b"))</f>
        <v>ELPLBZ Float 10/09/18</v>
      </c>
      <c r="D47" s="150" t="str" cm="1">
        <f t="array" ref="D47">IF(B47="","",_xll.BDP($B47,D$8,"fill=b"))</f>
        <v>ELETRICIDADE SAO PAULO</v>
      </c>
      <c r="E47" s="150" t="str" cm="1">
        <f t="array" ref="E47">IF(C47="","",_xll.BDP($B47,E$8,"fill=b"))</f>
        <v/>
      </c>
      <c r="F47" s="150" t="str" cm="1">
        <f t="array" ref="F47">IF(B47="","",_xll.BDP($B47,F$8,"fill=b"))</f>
        <v>WR</v>
      </c>
      <c r="G47" s="150" t="str" cm="1">
        <f t="array" ref="G47">IF(B47="","",_xll.BDP($B47,G$8,"fill=b"))</f>
        <v/>
      </c>
      <c r="H47" s="150" t="str" cm="1">
        <f t="array" ref="H47">IF(B47="","",IF(LEFT(_xlfn.SINGLE(_xll.BDP($B47,H$8,"fill=b")),1)="#","-",_xll.BDP($B47,H$8,"fill=b")))</f>
        <v>ENEL IM</v>
      </c>
      <c r="I47" s="150" t="str">
        <f>IF(OR(B47="",TRIM(H47)="-"),"",_xll.BDP(H47&amp;" Equity",I$8,"fill=b"))</f>
        <v>ENEL SPA</v>
      </c>
      <c r="J47" s="150" t="str">
        <f>IF(OR($B47="",$H47="-"),"",_xll.BDP($H47&amp;" Equity",J$8,"fill=b"))</f>
        <v>Baa1</v>
      </c>
      <c r="K47" s="150" t="str">
        <f>IF(OR($B47="",$H47="-"),"",_xll.BDP($H47&amp;" Equity",K$8,"fill=b"))</f>
        <v>BBB</v>
      </c>
      <c r="L47" s="258" t="str">
        <f>IF(OR($B47="",$H47="-"),"",_xll.BDP($H47&amp;" Equity",L$8,"fill=b"))</f>
        <v/>
      </c>
    </row>
    <row r="48" spans="2:12" x14ac:dyDescent="0.25">
      <c r="B48" s="182" t="str">
        <v>EJ417577 Corp</v>
      </c>
      <c r="C48" s="150" t="str" cm="1">
        <f t="array" ref="C48">IF(B48="","",_xll.BDP($B48,C$8,"fill=b"))</f>
        <v>ECORBZ 5 10/15/19</v>
      </c>
      <c r="D48" s="150" t="str" cm="1">
        <f t="array" ref="D48">IF(B48="","",_xll.BDP($B48,D$8,"fill=b"))</f>
        <v>ECORODOVIAS INFRAESTRUTU</v>
      </c>
      <c r="E48" s="150" t="str" cm="1">
        <f t="array" ref="E48">IF(C48="","",_xll.BDP($B48,E$8,"fill=b"))</f>
        <v/>
      </c>
      <c r="F48" s="150" t="str" cm="1">
        <f t="array" ref="F48">IF(B48="","",_xll.BDP($B48,F$8,"fill=b"))</f>
        <v/>
      </c>
      <c r="G48" s="150" t="str" cm="1">
        <f t="array" ref="G48">IF(B48="","",_xll.BDP($B48,G$8,"fill=b"))</f>
        <v/>
      </c>
      <c r="H48" s="150" t="str" cm="1">
        <f t="array" ref="H48">IF(B48="","",IF(LEFT(_xlfn.SINGLE(_xll.BDP($B48,H$8,"fill=b")),1)="#","-",_xll.BDP($B48,H$8,"fill=b")))</f>
        <v>1204213D IM</v>
      </c>
      <c r="I48" s="150" t="str" cm="1">
        <f t="array" ref="I48">IF(OR(B48="",TRIM(H48)="-"),"",_xll.BDP(H48&amp;" Equity",I$8,"fill=b"))</f>
        <v>AURELIA - SRL</v>
      </c>
      <c r="J48" s="150" t="str" cm="1">
        <f t="array" ref="J48">IF(OR($B48="",$H48="-"),"",_xll.BDP($H48&amp;" Equity",J$8,"fill=b"))</f>
        <v/>
      </c>
      <c r="K48" s="150" t="str" cm="1">
        <f t="array" ref="K48">IF(OR($B48="",$H48="-"),"",_xll.BDP($H48&amp;" Equity",K$8,"fill=b"))</f>
        <v/>
      </c>
      <c r="L48" s="258" t="str" cm="1">
        <f t="array" ref="L48">IF(OR($B48="",$H48="-"),"",_xll.BDP($H48&amp;" Equity",L$8,"fill=b"))</f>
        <v/>
      </c>
    </row>
    <row r="49" spans="2:12" x14ac:dyDescent="0.25">
      <c r="B49" s="182" t="str">
        <v>EJ417662 Corp</v>
      </c>
      <c r="C49" s="150" t="str" cm="1">
        <f t="array" ref="C49">IF(B49="","",_xll.BDP($B49,C$8,"fill=b"))</f>
        <v>TRIUNF Float 10/15/17</v>
      </c>
      <c r="D49" s="150" t="str" cm="1">
        <f t="array" ref="D49">IF(B49="","",_xll.BDP($B49,D$8,"fill=b"))</f>
        <v>TRIUNFO PARTICIPACOES E</v>
      </c>
      <c r="E49" s="150" t="str" cm="1">
        <f t="array" ref="E49">IF(C49="","",_xll.BDP($B49,E$8,"fill=b"))</f>
        <v/>
      </c>
      <c r="F49" s="150" t="str" cm="1">
        <f t="array" ref="F49">IF(B49="","",_xll.BDP($B49,F$8,"fill=b"))</f>
        <v/>
      </c>
      <c r="G49" s="150" t="str" cm="1">
        <f t="array" ref="G49">IF(B49="","",_xll.BDP($B49,G$8,"fill=b"))</f>
        <v/>
      </c>
      <c r="H49" s="150" t="str" cm="1">
        <f t="array" ref="H49">IF(B49="","",IF(LEFT(_xlfn.SINGLE(_xll.BDP($B49,H$8,"fill=b")),1)="#","-",_xll.BDP($B49,H$8,"fill=b")))</f>
        <v>0848187D BZ</v>
      </c>
      <c r="I49" s="150" t="str" cm="1">
        <f t="array" ref="I49">IF(OR(B49="",TRIM(H49)="-"),"",_xll.BDP(H49&amp;" Equity",I$8,"fill=b"))</f>
        <v>THP - TRIUNFO HOLDING DE PAR</v>
      </c>
      <c r="J49" s="150" t="str" cm="1">
        <f t="array" ref="J49">IF(OR($B49="",$H49="-"),"",_xll.BDP($H49&amp;" Equity",J$8,"fill=b"))</f>
        <v/>
      </c>
      <c r="K49" s="150" t="str" cm="1">
        <f t="array" ref="K49">IF(OR($B49="",$H49="-"),"",_xll.BDP($H49&amp;" Equity",K$8,"fill=b"))</f>
        <v/>
      </c>
      <c r="L49" s="258" t="str" cm="1">
        <f t="array" ref="L49">IF(OR($B49="",$H49="-"),"",_xll.BDP($H49&amp;" Equity",L$8,"fill=b"))</f>
        <v/>
      </c>
    </row>
    <row r="50" spans="2:12" x14ac:dyDescent="0.25">
      <c r="B50" s="182" t="str">
        <v>EJ417687 Corp</v>
      </c>
      <c r="C50" s="150" t="str" cm="1">
        <f t="array" ref="C50">IF(B50="","",_xll.BDP($B50,C$8,"fill=b"))</f>
        <v>ECORBZ 5.35 10/15/22</v>
      </c>
      <c r="D50" s="150" t="str" cm="1">
        <f t="array" ref="D50">IF(B50="","",_xll.BDP($B50,D$8,"fill=b"))</f>
        <v>ECORODOVIAS INFRAESTRUTU</v>
      </c>
      <c r="E50" s="150" t="str" cm="1">
        <f t="array" ref="E50">IF(C50="","",_xll.BDP($B50,E$8,"fill=b"))</f>
        <v/>
      </c>
      <c r="F50" s="150" t="str" cm="1">
        <f t="array" ref="F50">IF(B50="","",_xll.BDP($B50,F$8,"fill=b"))</f>
        <v/>
      </c>
      <c r="G50" s="150" t="str" cm="1">
        <f t="array" ref="G50">IF(B50="","",_xll.BDP($B50,G$8,"fill=b"))</f>
        <v/>
      </c>
      <c r="H50" s="150" t="str" cm="1">
        <f t="array" ref="H50">IF(B50="","",IF(LEFT(_xlfn.SINGLE(_xll.BDP($B50,H$8,"fill=b")),1)="#","-",_xll.BDP($B50,H$8,"fill=b")))</f>
        <v>1204213D IM</v>
      </c>
      <c r="I50" s="150" t="str" cm="1">
        <f t="array" ref="I50">IF(OR(B50="",TRIM(H50)="-"),"",_xll.BDP(H50&amp;" Equity",I$8,"fill=b"))</f>
        <v>AURELIA - SRL</v>
      </c>
      <c r="J50" s="150" t="str" cm="1">
        <f t="array" ref="J50">IF(OR($B50="",$H50="-"),"",_xll.BDP($H50&amp;" Equity",J$8,"fill=b"))</f>
        <v/>
      </c>
      <c r="K50" s="150" t="str" cm="1">
        <f t="array" ref="K50">IF(OR($B50="",$H50="-"),"",_xll.BDP($H50&amp;" Equity",K$8,"fill=b"))</f>
        <v/>
      </c>
      <c r="L50" s="258" t="str" cm="1">
        <f t="array" ref="L50">IF(OR($B50="",$H50="-"),"",_xll.BDP($H50&amp;" Equity",L$8,"fill=b"))</f>
        <v/>
      </c>
    </row>
    <row r="51" spans="2:12" x14ac:dyDescent="0.25">
      <c r="B51" s="182" t="str">
        <v>EJ417692 Corp</v>
      </c>
      <c r="C51" s="150" t="str" cm="1">
        <f t="array" ref="C51">IF(B51="","",_xll.BDP($B51,C$8,"fill=b"))</f>
        <v>ECORBZ Float 10/15/18</v>
      </c>
      <c r="D51" s="150" t="str" cm="1">
        <f t="array" ref="D51">IF(B51="","",_xll.BDP($B51,D$8,"fill=b"))</f>
        <v>ECORODOVIAS INFRAESTRUTU</v>
      </c>
      <c r="E51" s="150" t="str" cm="1">
        <f t="array" ref="E51">IF(C51="","",_xll.BDP($B51,E$8,"fill=b"))</f>
        <v/>
      </c>
      <c r="F51" s="150" t="str" cm="1">
        <f t="array" ref="F51">IF(B51="","",_xll.BDP($B51,F$8,"fill=b"))</f>
        <v/>
      </c>
      <c r="G51" s="150" t="str" cm="1">
        <f t="array" ref="G51">IF(B51="","",_xll.BDP($B51,G$8,"fill=b"))</f>
        <v/>
      </c>
      <c r="H51" s="150" t="str" cm="1">
        <f t="array" ref="H51">IF(B51="","",IF(LEFT(_xlfn.SINGLE(_xll.BDP($B51,H$8,"fill=b")),1)="#","-",_xll.BDP($B51,H$8,"fill=b")))</f>
        <v>1204213D IM</v>
      </c>
      <c r="I51" s="150" t="str" cm="1">
        <f t="array" ref="I51">IF(OR(B51="",TRIM(H51)="-"),"",_xll.BDP(H51&amp;" Equity",I$8,"fill=b"))</f>
        <v>AURELIA - SRL</v>
      </c>
      <c r="J51" s="150" t="str" cm="1">
        <f t="array" ref="J51">IF(OR($B51="",$H51="-"),"",_xll.BDP($H51&amp;" Equity",J$8,"fill=b"))</f>
        <v/>
      </c>
      <c r="K51" s="150" t="str" cm="1">
        <f t="array" ref="K51">IF(OR($B51="",$H51="-"),"",_xll.BDP($H51&amp;" Equity",K$8,"fill=b"))</f>
        <v/>
      </c>
      <c r="L51" s="258" t="str" cm="1">
        <f t="array" ref="L51">IF(OR($B51="",$H51="-"),"",_xll.BDP($H51&amp;" Equity",L$8,"fill=b"))</f>
        <v/>
      </c>
    </row>
    <row r="52" spans="2:12" x14ac:dyDescent="0.25">
      <c r="B52" s="182" t="str">
        <v>EJ420600 Corp</v>
      </c>
      <c r="C52" s="150" t="str" cm="1">
        <f t="array" ref="C52">IF(B52="","",_xll.BDP($B52,C$8,"fill=b"))</f>
        <v>CCROBZ Float 09/15/17</v>
      </c>
      <c r="D52" s="150" t="str" cm="1">
        <f t="array" ref="D52">IF(B52="","",_xll.BDP($B52,D$8,"fill=b"))</f>
        <v>SISTEMA ANHANGUERA BAND</v>
      </c>
      <c r="E52" s="150" t="str" cm="1">
        <f t="array" ref="E52">IF(C52="","",_xll.BDP($B52,E$8,"fill=b"))</f>
        <v/>
      </c>
      <c r="F52" s="150" t="str" cm="1">
        <f t="array" ref="F52">IF(B52="","",_xll.BDP($B52,F$8,"fill=b"))</f>
        <v/>
      </c>
      <c r="G52" s="150" t="str" cm="1">
        <f t="array" ref="G52">IF(B52="","",_xll.BDP($B52,G$8,"fill=b"))</f>
        <v/>
      </c>
      <c r="H52" s="150" t="str" cm="1">
        <f t="array" ref="H52">IF(B52="","",IF(LEFT(_xlfn.SINGLE(_xll.BDP($B52,H$8,"fill=b")),1)="#","-",_xll.BDP($B52,H$8,"fill=b")))</f>
        <v>MOTV3 BZ</v>
      </c>
      <c r="I52" s="150" t="str" cm="1">
        <f t="array" ref="I52">IF(OR(B52="",TRIM(H52)="-"),"",_xll.BDP(H52&amp;" Equity",I$8,"fill=b"))</f>
        <v>MOTIVA INFRAESTRUTURA DE MOB</v>
      </c>
      <c r="J52" s="150" t="str" cm="1">
        <f t="array" ref="J52">IF(OR($B52="",$H52="-"),"",_xll.BDP($H52&amp;" Equity",J$8,"fill=b"))</f>
        <v/>
      </c>
      <c r="K52" s="150" t="str" cm="1">
        <f t="array" ref="K52">IF(OR($B52="",$H52="-"),"",_xll.BDP($H52&amp;" Equity",K$8,"fill=b"))</f>
        <v/>
      </c>
      <c r="L52" s="258" t="str" cm="1">
        <f t="array" ref="L52">IF(OR($B52="",$H52="-"),"",_xll.BDP($H52&amp;" Equity",L$8,"fill=b"))</f>
        <v/>
      </c>
    </row>
    <row r="53" spans="2:12" x14ac:dyDescent="0.25">
      <c r="B53" s="182" t="str">
        <v>EJ4206003 Corp</v>
      </c>
      <c r="C53" s="150" t="str" cm="1">
        <f t="array" ref="C53">IF(B53="","",_xll.BDP($B53,C$8,"fill=b"))</f>
        <v>CCROBZ Float 09/15/17</v>
      </c>
      <c r="D53" s="150" t="str" cm="1">
        <f t="array" ref="D53">IF(B53="","",_xll.BDP($B53,D$8,"fill=b"))</f>
        <v>SISTEMA ANHANGUERA BAND</v>
      </c>
      <c r="E53" s="150" t="str" cm="1">
        <f t="array" ref="E53">IF(C53="","",_xll.BDP($B53,E$8,"fill=b"))</f>
        <v/>
      </c>
      <c r="F53" s="150" t="str" cm="1">
        <f t="array" ref="F53">IF(B53="","",_xll.BDP($B53,F$8,"fill=b"))</f>
        <v/>
      </c>
      <c r="G53" s="150" t="str" cm="1">
        <f t="array" ref="G53">IF(B53="","",_xll.BDP($B53,G$8,"fill=b"))</f>
        <v/>
      </c>
      <c r="H53" s="150" t="str" cm="1">
        <f t="array" ref="H53">IF(B53="","",IF(LEFT(_xlfn.SINGLE(_xll.BDP($B53,H$8,"fill=b")),1)="#","-",_xll.BDP($B53,H$8,"fill=b")))</f>
        <v>MOTV3 BZ</v>
      </c>
      <c r="I53" s="150" t="str" cm="1">
        <f t="array" ref="I53">IF(OR(B53="",TRIM(H53)="-"),"",_xll.BDP(H53&amp;" Equity",I$8,"fill=b"))</f>
        <v>MOTIVA INFRAESTRUTURA DE MOB</v>
      </c>
      <c r="J53" s="150" t="str" cm="1">
        <f t="array" ref="J53">IF(OR($B53="",$H53="-"),"",_xll.BDP($H53&amp;" Equity",J$8,"fill=b"))</f>
        <v/>
      </c>
      <c r="K53" s="150" t="str" cm="1">
        <f t="array" ref="K53">IF(OR($B53="",$H53="-"),"",_xll.BDP($H53&amp;" Equity",K$8,"fill=b"))</f>
        <v/>
      </c>
      <c r="L53" s="258" t="str" cm="1">
        <f t="array" ref="L53">IF(OR($B53="",$H53="-"),"",_xll.BDP($H53&amp;" Equity",L$8,"fill=b"))</f>
        <v/>
      </c>
    </row>
    <row r="54" spans="2:12" x14ac:dyDescent="0.25">
      <c r="B54" s="182" t="str">
        <v>EJ422135 Corp</v>
      </c>
      <c r="C54" s="150" t="str" cm="1">
        <f t="array" ref="C54">IF(B54="","",_xll.BDP($B54,C$8,"fill=b"))</f>
        <v>TAEEBZ 4.85 10/15/20</v>
      </c>
      <c r="D54" s="150" t="str" cm="1">
        <f t="array" ref="D54">IF(B54="","",_xll.BDP($B54,D$8,"fill=b"))</f>
        <v>TRANSMISSORA ALIANCA EN</v>
      </c>
      <c r="E54" s="150" t="str" cm="1">
        <f t="array" ref="E54">IF(C54="","",_xll.BDP($B54,E$8,"fill=b"))</f>
        <v/>
      </c>
      <c r="F54" s="150" t="str" cm="1">
        <f t="array" ref="F54">IF(B54="","",_xll.BDP($B54,F$8,"fill=b"))</f>
        <v/>
      </c>
      <c r="G54" s="150" t="str" cm="1">
        <f t="array" ref="G54">IF(B54="","",_xll.BDP($B54,G$8,"fill=b"))</f>
        <v/>
      </c>
      <c r="H54" s="150" t="str" cm="1">
        <f t="array" ref="H54">IF(B54="","",IF(LEFT(_xlfn.SINGLE(_xll.BDP($B54,H$8,"fill=b")),1)="#","-",_xll.BDP($B54,H$8,"fill=b")))</f>
        <v>TAEE11 BZ</v>
      </c>
      <c r="I54" s="150" t="str" cm="1">
        <f t="array" ref="I54">IF(OR(B54="",TRIM(H54)="-"),"",_xll.BDP(H54&amp;" Equity",I$8,"fill=b"))</f>
        <v>TRANSMISSORA ALIANCA DE-UNIT</v>
      </c>
      <c r="J54" s="150" t="str" cm="1">
        <f t="array" ref="J54">IF(OR($B54="",$H54="-"),"",_xll.BDP($H54&amp;" Equity",J$8,"fill=b"))</f>
        <v/>
      </c>
      <c r="K54" s="150" t="str" cm="1">
        <f t="array" ref="K54">IF(OR($B54="",$H54="-"),"",_xll.BDP($H54&amp;" Equity",K$8,"fill=b"))</f>
        <v>NR</v>
      </c>
      <c r="L54" s="258" t="str" cm="1">
        <f t="array" ref="L54">IF(OR($B54="",$H54="-"),"",_xll.BDP($H54&amp;" Equity",L$8,"fill=b"))</f>
        <v>BB+</v>
      </c>
    </row>
    <row r="55" spans="2:12" x14ac:dyDescent="0.25">
      <c r="B55" s="182" t="str">
        <v>EJ422200 Corp</v>
      </c>
      <c r="C55" s="150" t="str" cm="1">
        <f t="array" ref="C55">IF(B55="","",_xll.BDP($B55,C$8,"fill=b"))</f>
        <v>TAEEBZ 5.1 10/15/24</v>
      </c>
      <c r="D55" s="150" t="str" cm="1">
        <f t="array" ref="D55">IF(B55="","",_xll.BDP($B55,D$8,"fill=b"))</f>
        <v>TRANSMISSORA ALIANCA EN</v>
      </c>
      <c r="E55" s="150" t="str" cm="1">
        <f t="array" ref="E55">IF(C55="","",_xll.BDP($B55,E$8,"fill=b"))</f>
        <v/>
      </c>
      <c r="F55" s="150" t="str" cm="1">
        <f t="array" ref="F55">IF(B55="","",_xll.BDP($B55,F$8,"fill=b"))</f>
        <v/>
      </c>
      <c r="G55" s="150" t="str" cm="1">
        <f t="array" ref="G55">IF(B55="","",_xll.BDP($B55,G$8,"fill=b"))</f>
        <v/>
      </c>
      <c r="H55" s="150" t="str" cm="1">
        <f t="array" ref="H55">IF(B55="","",IF(LEFT(_xlfn.SINGLE(_xll.BDP($B55,H$8,"fill=b")),1)="#","-",_xll.BDP($B55,H$8,"fill=b")))</f>
        <v>TAEE11 BZ</v>
      </c>
      <c r="I55" s="150" t="str" cm="1">
        <f t="array" ref="I55">IF(OR(B55="",TRIM(H55)="-"),"",_xll.BDP(H55&amp;" Equity",I$8,"fill=b"))</f>
        <v>TRANSMISSORA ALIANCA DE-UNIT</v>
      </c>
      <c r="J55" s="150" t="str" cm="1">
        <f t="array" ref="J55">IF(OR($B55="",$H55="-"),"",_xll.BDP($H55&amp;" Equity",J$8,"fill=b"))</f>
        <v/>
      </c>
      <c r="K55" s="150" t="str" cm="1">
        <f t="array" ref="K55">IF(OR($B55="",$H55="-"),"",_xll.BDP($H55&amp;" Equity",K$8,"fill=b"))</f>
        <v>NR</v>
      </c>
      <c r="L55" s="258" t="str" cm="1">
        <f t="array" ref="L55">IF(OR($B55="",$H55="-"),"",_xll.BDP($H55&amp;" Equity",L$8,"fill=b"))</f>
        <v>BB+</v>
      </c>
    </row>
    <row r="56" spans="2:12" x14ac:dyDescent="0.25">
      <c r="B56" s="182" t="str">
        <v>EJ424600 Corp</v>
      </c>
      <c r="C56" s="150" t="str" cm="1">
        <f t="array" ref="C56">IF(B56="","",_xll.BDP($B56,C$8,"fill=b"))</f>
        <v>CTBON 6 09/15/19</v>
      </c>
      <c r="D56" s="150" t="str" cm="1">
        <f t="array" ref="D56">IF(B56="","",_xll.BDP($B56,D$8,"fill=b"))</f>
        <v>ALGAR TELECOM SA</v>
      </c>
      <c r="E56" s="150" t="str" cm="1">
        <f t="array" ref="E56">IF(C56="","",_xll.BDP($B56,E$8,"fill=b"))</f>
        <v/>
      </c>
      <c r="F56" s="150" t="str" cm="1">
        <f t="array" ref="F56">IF(B56="","",_xll.BDP($B56,F$8,"fill=b"))</f>
        <v/>
      </c>
      <c r="G56" s="150" t="str" cm="1">
        <f t="array" ref="G56">IF(B56="","",_xll.BDP($B56,G$8,"fill=b"))</f>
        <v/>
      </c>
      <c r="H56" s="150" t="str" cm="1">
        <f t="array" ref="H56">IF(B56="","",IF(LEFT(_xlfn.SINGLE(_xll.BDP($B56,H$8,"fill=b")),1)="#","-",_xll.BDP($B56,H$8,"fill=b")))</f>
        <v>0851200D BZ</v>
      </c>
      <c r="I56" s="150" t="str" cm="1">
        <f t="array" ref="I56">IF(OR(B56="",TRIM(H56)="-"),"",_xll.BDP(H56&amp;" Equity",I$8,"fill=b"))</f>
        <v>ALGAR S/A EMPREENDIMENTOS E</v>
      </c>
      <c r="J56" s="150" t="str" cm="1">
        <f t="array" ref="J56">IF(OR($B56="",$H56="-"),"",_xll.BDP($H56&amp;" Equity",J$8,"fill=b"))</f>
        <v/>
      </c>
      <c r="K56" s="150" t="str" cm="1">
        <f t="array" ref="K56">IF(OR($B56="",$H56="-"),"",_xll.BDP($H56&amp;" Equity",K$8,"fill=b"))</f>
        <v/>
      </c>
      <c r="L56" s="258" t="str" cm="1">
        <f t="array" ref="L56">IF(OR($B56="",$H56="-"),"",_xll.BDP($H56&amp;" Equity",L$8,"fill=b"))</f>
        <v/>
      </c>
    </row>
    <row r="57" spans="2:12" x14ac:dyDescent="0.25">
      <c r="B57" s="182" t="str">
        <v>EJ442371 Corp</v>
      </c>
      <c r="C57" s="150" t="str" cm="1">
        <f t="array" ref="C57">IF(B57="","",_xll.BDP($B57,C$8,"fill=b"))</f>
        <v>COAURA 5.8 12/15/24</v>
      </c>
      <c r="D57" s="150" t="str" cm="1">
        <f t="array" ref="D57">IF(B57="","",_xll.BDP($B57,D$8,"fill=b"))</f>
        <v>AUTO RAPOSO TAVARES</v>
      </c>
      <c r="E57" s="150" t="str" cm="1">
        <f t="array" ref="E57">IF(C57="","",_xll.BDP($B57,E$8,"fill=b"))</f>
        <v/>
      </c>
      <c r="F57" s="150" t="str" cm="1">
        <f t="array" ref="F57">IF(B57="","",_xll.BDP($B57,F$8,"fill=b"))</f>
        <v>WR</v>
      </c>
      <c r="G57" s="150" t="str" cm="1">
        <f t="array" ref="G57">IF(B57="","",_xll.BDP($B57,G$8,"fill=b"))</f>
        <v/>
      </c>
      <c r="H57" s="150" t="str" cm="1">
        <f t="array" ref="H57">IF(B57="","",IF(LEFT(_xlfn.SINGLE(_xll.BDP($B57,H$8,"fill=b")),1)="#","-",_xll.BDP($B57,H$8,"fill=b")))</f>
        <v>IVPR3B BZ</v>
      </c>
      <c r="I57" s="150" t="str">
        <f>IF(OR(B57="",TRIM(H57)="-"),"",_xll.BDP(H57&amp;" Equity",I$8,"fill=b"))</f>
        <v>INV E PART INFRA-EST-INVEPAR</v>
      </c>
      <c r="J57" s="150" t="str">
        <f>IF(OR($B57="",$H57="-"),"",_xll.BDP($H57&amp;" Equity",J$8,"fill=b"))</f>
        <v/>
      </c>
      <c r="K57" s="150" t="str">
        <f>IF(OR($B57="",$H57="-"),"",_xll.BDP($H57&amp;" Equity",K$8,"fill=b"))</f>
        <v>D</v>
      </c>
      <c r="L57" s="258" t="str">
        <f>IF(OR($B57="",$H57="-"),"",_xll.BDP($H57&amp;" Equity",L$8,"fill=b"))</f>
        <v>WD</v>
      </c>
    </row>
    <row r="58" spans="2:12" x14ac:dyDescent="0.25">
      <c r="B58" s="182" t="str">
        <v>EJ450896 Corp</v>
      </c>
      <c r="C58" s="150" t="str" cm="1">
        <f t="array" ref="C58">IF(B58="","",_xll.BDP($B58,C$8,"fill=b"))</f>
        <v>SBSPBZ Float 01/15/18</v>
      </c>
      <c r="D58" s="150" t="str" cm="1">
        <f t="array" ref="D58">IF(B58="","",_xll.BDP($B58,D$8,"fill=b"))</f>
        <v>CIA SANEAMENTO BASICO</v>
      </c>
      <c r="E58" s="150" t="str" cm="1">
        <f t="array" ref="E58">IF(C58="","",_xll.BDP($B58,E$8,"fill=b"))</f>
        <v/>
      </c>
      <c r="F58" s="150" t="str" cm="1">
        <f t="array" ref="F58">IF(B58="","",_xll.BDP($B58,F$8,"fill=b"))</f>
        <v/>
      </c>
      <c r="G58" s="150" t="str" cm="1">
        <f t="array" ref="G58">IF(B58="","",_xll.BDP($B58,G$8,"fill=b"))</f>
        <v/>
      </c>
      <c r="H58" s="150" t="str" cm="1">
        <f t="array" ref="H58">IF(B58="","",IF(LEFT(_xlfn.SINGLE(_xll.BDP($B58,H$8,"fill=b")),1)="#","-",_xll.BDP($B58,H$8,"fill=b")))</f>
        <v>1169Z BZ</v>
      </c>
      <c r="I58" s="150" t="str" cm="1">
        <f t="array" ref="I58">IF(OR(B58="",TRIM(H58)="-"),"",_xll.BDP(H58&amp;" Equity",I$8,"fill=b"))</f>
        <v>ESTADO DE SAO PAULO</v>
      </c>
      <c r="J58" s="150" t="str" cm="1">
        <f t="array" ref="J58">IF(OR($B58="",$H58="-"),"",_xll.BDP($H58&amp;" Equity",J$8,"fill=b"))</f>
        <v>Ba1</v>
      </c>
      <c r="K58" s="150" t="str" cm="1">
        <f t="array" ref="K58">IF(OR($B58="",$H58="-"),"",_xll.BDP($H58&amp;" Equity",K$8,"fill=b"))</f>
        <v>NR</v>
      </c>
      <c r="L58" s="258" t="str" cm="1">
        <f t="array" ref="L58">IF(OR($B58="",$H58="-"),"",_xll.BDP($H58&amp;" Equity",L$8,"fill=b"))</f>
        <v>BBu</v>
      </c>
    </row>
    <row r="59" spans="2:12" x14ac:dyDescent="0.25">
      <c r="B59" s="182" t="str">
        <v>EJ450916 Corp</v>
      </c>
      <c r="C59" s="150" t="str" cm="1">
        <f t="array" ref="C59">IF(B59="","",_xll.BDP($B59,C$8,"fill=b"))</f>
        <v>SBSPBZ 4 1/2 01/15/20</v>
      </c>
      <c r="D59" s="150" t="str" cm="1">
        <f t="array" ref="D59">IF(B59="","",_xll.BDP($B59,D$8,"fill=b"))</f>
        <v>CIA SANEAMENTO BASICO</v>
      </c>
      <c r="E59" s="150" t="str" cm="1">
        <f t="array" ref="E59">IF(C59="","",_xll.BDP($B59,E$8,"fill=b"))</f>
        <v/>
      </c>
      <c r="F59" s="150" t="str" cm="1">
        <f t="array" ref="F59">IF(B59="","",_xll.BDP($B59,F$8,"fill=b"))</f>
        <v/>
      </c>
      <c r="G59" s="150" t="str" cm="1">
        <f t="array" ref="G59">IF(B59="","",_xll.BDP($B59,G$8,"fill=b"))</f>
        <v/>
      </c>
      <c r="H59" s="150" t="str" cm="1">
        <f t="array" ref="H59">IF(B59="","",IF(LEFT(_xlfn.SINGLE(_xll.BDP($B59,H$8,"fill=b")),1)="#","-",_xll.BDP($B59,H$8,"fill=b")))</f>
        <v>1169Z BZ</v>
      </c>
      <c r="I59" s="150" t="str" cm="1">
        <f t="array" ref="I59">IF(OR(B59="",TRIM(H59)="-"),"",_xll.BDP(H59&amp;" Equity",I$8,"fill=b"))</f>
        <v>ESTADO DE SAO PAULO</v>
      </c>
      <c r="J59" s="150" t="str" cm="1">
        <f t="array" ref="J59">IF(OR($B59="",$H59="-"),"",_xll.BDP($H59&amp;" Equity",J$8,"fill=b"))</f>
        <v>Ba1</v>
      </c>
      <c r="K59" s="150" t="str" cm="1">
        <f t="array" ref="K59">IF(OR($B59="",$H59="-"),"",_xll.BDP($H59&amp;" Equity",K$8,"fill=b"))</f>
        <v>NR</v>
      </c>
      <c r="L59" s="258" t="str" cm="1">
        <f t="array" ref="L59">IF(OR($B59="",$H59="-"),"",_xll.BDP($H59&amp;" Equity",L$8,"fill=b"))</f>
        <v>BBu</v>
      </c>
    </row>
    <row r="60" spans="2:12" x14ac:dyDescent="0.25">
      <c r="B60" s="182" t="str">
        <v>EJ456856 Corp</v>
      </c>
      <c r="C60" s="150" t="str" cm="1">
        <f t="array" ref="C60">IF(B60="","",_xll.BDP($B60,C$8,"fill=b"))</f>
        <v>TRISOL 5.4 04/15/20</v>
      </c>
      <c r="D60" s="150" t="str" cm="1">
        <f t="array" ref="D60">IF(B60="","",_xll.BDP($B60,D$8,"fill=b"))</f>
        <v>TRIANGULO DO SOL AUT-EST</v>
      </c>
      <c r="E60" s="150" t="str" cm="1">
        <f t="array" ref="E60">IF(C60="","",_xll.BDP($B60,E$8,"fill=b"))</f>
        <v/>
      </c>
      <c r="F60" s="150" t="str" cm="1">
        <f t="array" ref="F60">IF(B60="","",_xll.BDP($B60,F$8,"fill=b"))</f>
        <v/>
      </c>
      <c r="G60" s="150" t="str" cm="1">
        <f t="array" ref="G60">IF(B60="","",_xll.BDP($B60,G$8,"fill=b"))</f>
        <v/>
      </c>
      <c r="H60" s="150" t="str" cm="1">
        <f t="array" ref="H60">IF(B60="","",IF(LEFT(_xlfn.SINGLE(_xll.BDP($B60,H$8,"fill=b")),1)="#","-",_xll.BDP($B60,H$8,"fill=b")))</f>
        <v>3284233Z IM</v>
      </c>
      <c r="I60" s="150" t="str" cm="1">
        <f t="array" ref="I60">IF(OR(B60="",TRIM(H60)="-"),"",_xll.BDP(H60&amp;" Equity",I$8,"fill=b"))</f>
        <v>EDIZIONE SPA</v>
      </c>
      <c r="J60" s="150" t="str" cm="1">
        <f t="array" ref="J60">IF(OR($B60="",$H60="-"),"",_xll.BDP($H60&amp;" Equity",J$8,"fill=b"))</f>
        <v/>
      </c>
      <c r="K60" s="150" t="str" cm="1">
        <f t="array" ref="K60">IF(OR($B60="",$H60="-"),"",_xll.BDP($H60&amp;" Equity",K$8,"fill=b"))</f>
        <v/>
      </c>
      <c r="L60" s="258" t="str" cm="1">
        <f t="array" ref="L60">IF(OR($B60="",$H60="-"),"",_xll.BDP($H60&amp;" Equity",L$8,"fill=b"))</f>
        <v/>
      </c>
    </row>
    <row r="61" spans="2:12" x14ac:dyDescent="0.25">
      <c r="B61" s="182" t="str">
        <v>EJ479689 Corp</v>
      </c>
      <c r="C61" s="150" t="str" cm="1">
        <f t="array" ref="C61">IF(B61="","",_xll.BDP($B61,C$8,"fill=b"))</f>
        <v>IGTABZ 4.31 02/15/21</v>
      </c>
      <c r="D61" s="150" t="str" cm="1">
        <f t="array" ref="D61">IF(B61="","",_xll.BDP($B61,D$8,"fill=b"))</f>
        <v>IGUATEMI EMPRESA DE SHOP</v>
      </c>
      <c r="E61" s="150" t="str" cm="1">
        <f t="array" ref="E61">IF(C61="","",_xll.BDP($B61,E$8,"fill=b"))</f>
        <v/>
      </c>
      <c r="F61" s="150" t="str" cm="1">
        <f t="array" ref="F61">IF(B61="","",_xll.BDP($B61,F$8,"fill=b"))</f>
        <v/>
      </c>
      <c r="G61" s="150" t="str" cm="1">
        <f t="array" ref="G61">IF(B61="","",_xll.BDP($B61,G$8,"fill=b"))</f>
        <v/>
      </c>
      <c r="H61" s="150" t="str" cm="1">
        <f t="array" ref="H61">IF(B61="","",IF(LEFT(_xlfn.SINGLE(_xll.BDP($B61,H$8,"fill=b")),1)="#","-",_xll.BDP($B61,H$8,"fill=b")))</f>
        <v>IGTI3 BZ</v>
      </c>
      <c r="I61" s="150" t="str" cm="1">
        <f t="array" ref="I61">IF(OR(B61="",TRIM(H61)="-"),"",_xll.BDP(H61&amp;" Equity",I$8,"fill=b"))</f>
        <v>IGUATEMI SA - ON</v>
      </c>
      <c r="J61" s="150" t="str" cm="1">
        <f t="array" ref="J61">IF(OR($B61="",$H61="-"),"",_xll.BDP($H61&amp;" Equity",J$8,"fill=b"))</f>
        <v/>
      </c>
      <c r="K61" s="150" t="str" cm="1">
        <f t="array" ref="K61">IF(OR($B61="",$H61="-"),"",_xll.BDP($H61&amp;" Equity",K$8,"fill=b"))</f>
        <v/>
      </c>
      <c r="L61" s="258" t="str" cm="1">
        <f t="array" ref="L61">IF(OR($B61="",$H61="-"),"",_xll.BDP($H61&amp;" Equity",L$8,"fill=b"))</f>
        <v/>
      </c>
    </row>
    <row r="62" spans="2:12" x14ac:dyDescent="0.25">
      <c r="B62" s="182" t="str">
        <v>EJ493748 Corp</v>
      </c>
      <c r="C62" s="150" t="str" cm="1">
        <f t="array" ref="C62">IF(B62="","",_xll.BDP($B62,C$8,"fill=b"))</f>
        <v>COAURA 6.05 12/15/24</v>
      </c>
      <c r="D62" s="150" t="str" cm="1">
        <f t="array" ref="D62">IF(B62="","",_xll.BDP($B62,D$8,"fill=b"))</f>
        <v>AUTO RAPOSO TAVARES</v>
      </c>
      <c r="E62" s="150" t="str" cm="1">
        <f t="array" ref="E62">IF(C62="","",_xll.BDP($B62,E$8,"fill=b"))</f>
        <v/>
      </c>
      <c r="F62" s="150" t="str" cm="1">
        <f t="array" ref="F62">IF(B62="","",_xll.BDP($B62,F$8,"fill=b"))</f>
        <v>WR</v>
      </c>
      <c r="G62" s="150" t="str" cm="1">
        <f t="array" ref="G62">IF(B62="","",_xll.BDP($B62,G$8,"fill=b"))</f>
        <v/>
      </c>
      <c r="H62" s="150" t="str" cm="1">
        <f t="array" ref="H62">IF(B62="","",IF(LEFT(_xlfn.SINGLE(_xll.BDP($B62,H$8,"fill=b")),1)="#","-",_xll.BDP($B62,H$8,"fill=b")))</f>
        <v>IVPR3B BZ</v>
      </c>
      <c r="I62" s="150" t="str" cm="1">
        <f t="array" ref="I62">IF(OR(B62="",TRIM(H62)="-"),"",_xll.BDP(H62&amp;" Equity",I$8,"fill=b"))</f>
        <v>INV E PART INFRA-EST-INVEPAR</v>
      </c>
      <c r="J62" s="150" t="str" cm="1">
        <f t="array" ref="J62">IF(OR($B62="",$H62="-"),"",_xll.BDP($H62&amp;" Equity",J$8,"fill=b"))</f>
        <v/>
      </c>
      <c r="K62" s="150" t="str" cm="1">
        <f t="array" ref="K62">IF(OR($B62="",$H62="-"),"",_xll.BDP($H62&amp;" Equity",K$8,"fill=b"))</f>
        <v>D</v>
      </c>
      <c r="L62" s="258" t="str" cm="1">
        <f t="array" ref="L62">IF(OR($B62="",$H62="-"),"",_xll.BDP($H62&amp;" Equity",L$8,"fill=b"))</f>
        <v>WD</v>
      </c>
    </row>
    <row r="63" spans="2:12" x14ac:dyDescent="0.25">
      <c r="B63" s="182" t="str">
        <v>EJ504746 Corp</v>
      </c>
      <c r="C63" s="150" t="str" cm="1">
        <f t="array" ref="C63">IF(B63="","",_xll.BDP($B63,C$8,"fill=b"))</f>
        <v>IGTABZ Float 02/15/20</v>
      </c>
      <c r="D63" s="150" t="str" cm="1">
        <f t="array" ref="D63">IF(B63="","",_xll.BDP($B63,D$8,"fill=b"))</f>
        <v>IGUATEMI EMPRESA DE SHOP</v>
      </c>
      <c r="E63" s="150" t="str" cm="1">
        <f t="array" ref="E63">IF(C63="","",_xll.BDP($B63,E$8,"fill=b"))</f>
        <v/>
      </c>
      <c r="F63" s="150" t="str" cm="1">
        <f t="array" ref="F63">IF(B63="","",_xll.BDP($B63,F$8,"fill=b"))</f>
        <v/>
      </c>
      <c r="G63" s="150" t="str" cm="1">
        <f t="array" ref="G63">IF(B63="","",_xll.BDP($B63,G$8,"fill=b"))</f>
        <v/>
      </c>
      <c r="H63" s="150" t="str" cm="1">
        <f t="array" ref="H63">IF(B63="","",IF(LEFT(_xlfn.SINGLE(_xll.BDP($B63,H$8,"fill=b")),1)="#","-",_xll.BDP($B63,H$8,"fill=b")))</f>
        <v>IGTI3 BZ</v>
      </c>
      <c r="I63" s="150" t="str" cm="1">
        <f t="array" ref="I63">IF(OR(B63="",TRIM(H63)="-"),"",_xll.BDP(H63&amp;" Equity",I$8,"fill=b"))</f>
        <v>IGUATEMI SA - ON</v>
      </c>
      <c r="J63" s="150" t="str" cm="1">
        <f t="array" ref="J63">IF(OR($B63="",$H63="-"),"",_xll.BDP($H63&amp;" Equity",J$8,"fill=b"))</f>
        <v/>
      </c>
      <c r="K63" s="150" t="str" cm="1">
        <f t="array" ref="K63">IF(OR($B63="",$H63="-"),"",_xll.BDP($H63&amp;" Equity",K$8,"fill=b"))</f>
        <v/>
      </c>
      <c r="L63" s="258" t="str" cm="1">
        <f t="array" ref="L63">IF(OR($B63="",$H63="-"),"",_xll.BDP($H63&amp;" Equity",L$8,"fill=b"))</f>
        <v/>
      </c>
    </row>
    <row r="64" spans="2:12" x14ac:dyDescent="0.25">
      <c r="B64" s="182" t="str">
        <v>EJ506725 Corp</v>
      </c>
      <c r="C64" s="150" t="str" cm="1">
        <f t="array" ref="C64">IF(B64="","",_xll.BDP($B64,C$8,"fill=b"))</f>
        <v>CMIGBZ Float 02/15/18</v>
      </c>
      <c r="D64" s="150" t="str" cm="1">
        <f t="array" ref="D64">IF(B64="","",_xll.BDP($B64,D$8,"fill=b"))</f>
        <v>CEMIG DISTRIBUICAO SA</v>
      </c>
      <c r="E64" s="150" t="str" cm="1">
        <f t="array" ref="E64">IF(C64="","",_xll.BDP($B64,E$8,"fill=b"))</f>
        <v/>
      </c>
      <c r="F64" s="150" t="str" cm="1">
        <f t="array" ref="F64">IF(B64="","",_xll.BDP($B64,F$8,"fill=b"))</f>
        <v>WR</v>
      </c>
      <c r="G64" s="150" t="str" cm="1">
        <f t="array" ref="G64">IF(B64="","",_xll.BDP($B64,G$8,"fill=b"))</f>
        <v/>
      </c>
      <c r="H64" s="150" t="str" cm="1">
        <f t="array" ref="H64">IF(B64="","",IF(LEFT(_xlfn.SINGLE(_xll.BDP($B64,H$8,"fill=b")),1)="#","-",_xll.BDP($B64,H$8,"fill=b")))</f>
        <v>CMIG4 BZ</v>
      </c>
      <c r="I64" s="150" t="str" cm="1">
        <f t="array" ref="I64">IF(OR(B64="",TRIM(H64)="-"),"",_xll.BDP(H64&amp;" Equity",I$8,"fill=b"))</f>
        <v>CIA ENERGETICA MINAS GER-PRF</v>
      </c>
      <c r="J64" s="150" t="str" cm="1">
        <f t="array" ref="J64">IF(OR($B64="",$H64="-"),"",_xll.BDP($H64&amp;" Equity",J$8,"fill=b"))</f>
        <v>Ba1</v>
      </c>
      <c r="K64" s="150" t="str" cm="1">
        <f t="array" ref="K64">IF(OR($B64="",$H64="-"),"",_xll.BDP($H64&amp;" Equity",K$8,"fill=b"))</f>
        <v>BB-</v>
      </c>
      <c r="L64" s="258" t="str" cm="1">
        <f t="array" ref="L64">IF(OR($B64="",$H64="-"),"",_xll.BDP($H64&amp;" Equity",L$8,"fill=b"))</f>
        <v>BB</v>
      </c>
    </row>
    <row r="65" spans="2:12" x14ac:dyDescent="0.25">
      <c r="B65" s="182" t="str">
        <v>EJ551526 Corp</v>
      </c>
      <c r="C65" s="150" t="str" cm="1">
        <f t="array" ref="C65">IF(B65="","",_xll.BDP($B65,C$8,"fill=b"))</f>
        <v>TRISOL Float 04/15/20</v>
      </c>
      <c r="D65" s="150" t="str" cm="1">
        <f t="array" ref="D65">IF(B65="","",_xll.BDP($B65,D$8,"fill=b"))</f>
        <v>TRIANGULO DO SOL AUT-EST</v>
      </c>
      <c r="E65" s="150" t="str" cm="1">
        <f t="array" ref="E65">IF(C65="","",_xll.BDP($B65,E$8,"fill=b"))</f>
        <v/>
      </c>
      <c r="F65" s="150" t="str" cm="1">
        <f t="array" ref="F65">IF(B65="","",_xll.BDP($B65,F$8,"fill=b"))</f>
        <v/>
      </c>
      <c r="G65" s="150" t="str" cm="1">
        <f t="array" ref="G65">IF(B65="","",_xll.BDP($B65,G$8,"fill=b"))</f>
        <v/>
      </c>
      <c r="H65" s="150" t="str" cm="1">
        <f t="array" ref="H65">IF(B65="","",IF(LEFT(_xlfn.SINGLE(_xll.BDP($B65,H$8,"fill=b")),1)="#","-",_xll.BDP($B65,H$8,"fill=b")))</f>
        <v>3284233Z IM</v>
      </c>
      <c r="I65" s="150" t="str" cm="1">
        <f t="array" ref="I65">IF(OR(B65="",TRIM(H65)="-"),"",_xll.BDP(H65&amp;" Equity",I$8,"fill=b"))</f>
        <v>EDIZIONE SPA</v>
      </c>
      <c r="J65" s="150" t="str" cm="1">
        <f t="array" ref="J65">IF(OR($B65="",$H65="-"),"",_xll.BDP($H65&amp;" Equity",J$8,"fill=b"))</f>
        <v/>
      </c>
      <c r="K65" s="150" t="str" cm="1">
        <f t="array" ref="K65">IF(OR($B65="",$H65="-"),"",_xll.BDP($H65&amp;" Equity",K$8,"fill=b"))</f>
        <v/>
      </c>
      <c r="L65" s="258" t="str" cm="1">
        <f t="array" ref="L65">IF(OR($B65="",$H65="-"),"",_xll.BDP($H65&amp;" Equity",L$8,"fill=b"))</f>
        <v/>
      </c>
    </row>
    <row r="66" spans="2:12" x14ac:dyDescent="0.25">
      <c r="B66" s="182" t="str">
        <v>EJ569989 Corp</v>
      </c>
      <c r="C66" s="150" t="str" cm="1">
        <f t="array" ref="C66">IF(B66="","",_xll.BDP($B66,C$8,"fill=b"))</f>
        <v>SVAPL Float 03/11/18</v>
      </c>
      <c r="D66" s="150" t="str" cm="1">
        <f t="array" ref="D66">IF(B66="","",_xll.BDP($B66,D$8,"fill=b"))</f>
        <v>UNIDAS SA</v>
      </c>
      <c r="E66" s="150" t="str" cm="1">
        <f t="array" ref="E66">IF(C66="","",_xll.BDP($B66,E$8,"fill=b"))</f>
        <v/>
      </c>
      <c r="F66" s="150" t="str" cm="1">
        <f t="array" ref="F66">IF(B66="","",_xll.BDP($B66,F$8,"fill=b"))</f>
        <v/>
      </c>
      <c r="G66" s="150" t="str" cm="1">
        <f t="array" ref="G66">IF(B66="","",_xll.BDP($B66,G$8,"fill=b"))</f>
        <v/>
      </c>
      <c r="H66" s="150" t="str" cm="1">
        <f t="array" ref="H66">IF(B66="","",IF(LEFT(_xlfn.SINGLE(_xll.BDP($B66,H$8,"fill=b")),1)="#","-",_xll.BDP($B66,H$8,"fill=b")))</f>
        <v>RENT3 BZ</v>
      </c>
      <c r="I66" s="150" t="str" cm="1">
        <f t="array" ref="I66">IF(OR(B66="",TRIM(H66)="-"),"",_xll.BDP(H66&amp;" Equity",I$8,"fill=b"))</f>
        <v>LOCALIZA RENT A CAR</v>
      </c>
      <c r="J66" s="150" t="str" cm="1">
        <f t="array" ref="J66">IF(OR($B66="",$H66="-"),"",_xll.BDP($H66&amp;" Equity",J$8,"fill=b"))</f>
        <v>Ba1</v>
      </c>
      <c r="K66" s="150" t="str" cm="1">
        <f t="array" ref="K66">IF(OR($B66="",$H66="-"),"",_xll.BDP($H66&amp;" Equity",K$8,"fill=b"))</f>
        <v>BBB-</v>
      </c>
      <c r="L66" s="258" t="str" cm="1">
        <f t="array" ref="L66">IF(OR($B66="",$H66="-"),"",_xll.BDP($H66&amp;" Equity",L$8,"fill=b"))</f>
        <v>BB+</v>
      </c>
    </row>
    <row r="67" spans="2:12" x14ac:dyDescent="0.25">
      <c r="B67" s="182" t="str">
        <v>EJ573906 Corp</v>
      </c>
      <c r="C67" s="150" t="str" cm="1">
        <f t="array" ref="C67">IF(B67="","",_xll.BDP($B67,C$8,"fill=b"))</f>
        <v>SBSPBZ 4 3/4 01/15/23</v>
      </c>
      <c r="D67" s="150" t="str" cm="1">
        <f t="array" ref="D67">IF(B67="","",_xll.BDP($B67,D$8,"fill=b"))</f>
        <v>CIA SANEAMENTO BASICO</v>
      </c>
      <c r="E67" s="150" t="str" cm="1">
        <f t="array" ref="E67">IF(C67="","",_xll.BDP($B67,E$8,"fill=b"))</f>
        <v/>
      </c>
      <c r="F67" s="150" t="str" cm="1">
        <f t="array" ref="F67">IF(B67="","",_xll.BDP($B67,F$8,"fill=b"))</f>
        <v/>
      </c>
      <c r="G67" s="150" t="str" cm="1">
        <f t="array" ref="G67">IF(B67="","",_xll.BDP($B67,G$8,"fill=b"))</f>
        <v/>
      </c>
      <c r="H67" s="150" t="str" cm="1">
        <f t="array" ref="H67">IF(B67="","",IF(LEFT(_xlfn.SINGLE(_xll.BDP($B67,H$8,"fill=b")),1)="#","-",_xll.BDP($B67,H$8,"fill=b")))</f>
        <v>1169Z BZ</v>
      </c>
      <c r="I67" s="150" t="str" cm="1">
        <f t="array" ref="I67">IF(OR(B67="",TRIM(H67)="-"),"",_xll.BDP(H67&amp;" Equity",I$8,"fill=b"))</f>
        <v>ESTADO DE SAO PAULO</v>
      </c>
      <c r="J67" s="150" t="str" cm="1">
        <f t="array" ref="J67">IF(OR($B67="",$H67="-"),"",_xll.BDP($H67&amp;" Equity",J$8,"fill=b"))</f>
        <v>Ba1</v>
      </c>
      <c r="K67" s="150" t="str" cm="1">
        <f t="array" ref="K67">IF(OR($B67="",$H67="-"),"",_xll.BDP($H67&amp;" Equity",K$8,"fill=b"))</f>
        <v>NR</v>
      </c>
      <c r="L67" s="258" t="str" cm="1">
        <f t="array" ref="L67">IF(OR($B67="",$H67="-"),"",_xll.BDP($H67&amp;" Equity",L$8,"fill=b"))</f>
        <v>BBu</v>
      </c>
    </row>
    <row r="68" spans="2:12" x14ac:dyDescent="0.25">
      <c r="B68" s="182" t="str">
        <v>EJ588860 Corp</v>
      </c>
      <c r="C68" s="150" t="str" cm="1">
        <f t="array" ref="C68">IF(B68="","",_xll.BDP($B68,C$8,"fill=b"))</f>
        <v>CMIGBZ 4.7 02/15/21</v>
      </c>
      <c r="D68" s="150" t="str" cm="1">
        <f t="array" ref="D68">IF(B68="","",_xll.BDP($B68,D$8,"fill=b"))</f>
        <v>CEMIG DISTRIBUICAO SA</v>
      </c>
      <c r="E68" s="150" t="str" cm="1">
        <f t="array" ref="E68">IF(C68="","",_xll.BDP($B68,E$8,"fill=b"))</f>
        <v/>
      </c>
      <c r="F68" s="150" t="str" cm="1">
        <f t="array" ref="F68">IF(B68="","",_xll.BDP($B68,F$8,"fill=b"))</f>
        <v>WR</v>
      </c>
      <c r="G68" s="150" t="str" cm="1">
        <f t="array" ref="G68">IF(B68="","",_xll.BDP($B68,G$8,"fill=b"))</f>
        <v/>
      </c>
      <c r="H68" s="150" t="str" cm="1">
        <f t="array" ref="H68">IF(B68="","",IF(LEFT(_xlfn.SINGLE(_xll.BDP($B68,H$8,"fill=b")),1)="#","-",_xll.BDP($B68,H$8,"fill=b")))</f>
        <v>CMIG4 BZ</v>
      </c>
      <c r="I68" s="150" t="str" cm="1">
        <f t="array" ref="I68">IF(OR(B68="",TRIM(H68)="-"),"",_xll.BDP(H68&amp;" Equity",I$8,"fill=b"))</f>
        <v>CIA ENERGETICA MINAS GER-PRF</v>
      </c>
      <c r="J68" s="150" t="str" cm="1">
        <f t="array" ref="J68">IF(OR($B68="",$H68="-"),"",_xll.BDP($H68&amp;" Equity",J$8,"fill=b"))</f>
        <v>Ba1</v>
      </c>
      <c r="K68" s="150" t="str" cm="1">
        <f t="array" ref="K68">IF(OR($B68="",$H68="-"),"",_xll.BDP($H68&amp;" Equity",K$8,"fill=b"))</f>
        <v>BB-</v>
      </c>
      <c r="L68" s="258" t="str" cm="1">
        <f t="array" ref="L68">IF(OR($B68="",$H68="-"),"",_xll.BDP($H68&amp;" Equity",L$8,"fill=b"))</f>
        <v>BB</v>
      </c>
    </row>
    <row r="69" spans="2:12" x14ac:dyDescent="0.25">
      <c r="B69" s="182" t="str">
        <v>EJ589035 Corp</v>
      </c>
      <c r="C69" s="150" t="str" cm="1">
        <f t="array" ref="C69">IF(B69="","",_xll.BDP($B69,C$8,"fill=b"))</f>
        <v>CMIGBZ 5.1 02/15/25</v>
      </c>
      <c r="D69" s="150" t="str" cm="1">
        <f t="array" ref="D69">IF(B69="","",_xll.BDP($B69,D$8,"fill=b"))</f>
        <v>CEMIG DISTRIBUICAO SA</v>
      </c>
      <c r="E69" s="150" t="str" cm="1">
        <f t="array" ref="E69">IF(C69="","",_xll.BDP($B69,E$8,"fill=b"))</f>
        <v/>
      </c>
      <c r="F69" s="150" t="str" cm="1">
        <f t="array" ref="F69">IF(B69="","",_xll.BDP($B69,F$8,"fill=b"))</f>
        <v>WR</v>
      </c>
      <c r="G69" s="150" t="str" cm="1">
        <f t="array" ref="G69">IF(B69="","",_xll.BDP($B69,G$8,"fill=b"))</f>
        <v/>
      </c>
      <c r="H69" s="150" t="str" cm="1">
        <f t="array" ref="H69">IF(B69="","",IF(LEFT(_xlfn.SINGLE(_xll.BDP($B69,H$8,"fill=b")),1)="#","-",_xll.BDP($B69,H$8,"fill=b")))</f>
        <v>CMIG4 BZ</v>
      </c>
      <c r="I69" s="150" t="str" cm="1">
        <f t="array" ref="I69">IF(OR(B69="",TRIM(H69)="-"),"",_xll.BDP(H69&amp;" Equity",I$8,"fill=b"))</f>
        <v>CIA ENERGETICA MINAS GER-PRF</v>
      </c>
      <c r="J69" s="150" t="str" cm="1">
        <f t="array" ref="J69">IF(OR($B69="",$H69="-"),"",_xll.BDP($H69&amp;" Equity",J$8,"fill=b"))</f>
        <v>Ba1</v>
      </c>
      <c r="K69" s="150" t="str" cm="1">
        <f t="array" ref="K69">IF(OR($B69="",$H69="-"),"",_xll.BDP($H69&amp;" Equity",K$8,"fill=b"))</f>
        <v>BB-</v>
      </c>
      <c r="L69" s="258" t="str" cm="1">
        <f t="array" ref="L69">IF(OR($B69="",$H69="-"),"",_xll.BDP($H69&amp;" Equity",L$8,"fill=b"))</f>
        <v>BB</v>
      </c>
    </row>
    <row r="70" spans="2:12" x14ac:dyDescent="0.25">
      <c r="B70" s="182" t="str">
        <v>EJ589220 Corp</v>
      </c>
      <c r="C70" s="150" t="str" cm="1">
        <f t="array" ref="C70">IF(B70="","",_xll.BDP($B70,C$8,"fill=b"))</f>
        <v>ECORBZ 3.8 04/15/20</v>
      </c>
      <c r="D70" s="150" t="str" cm="1">
        <f t="array" ref="D70">IF(B70="","",_xll.BDP($B70,D$8,"fill=b"))</f>
        <v>CONCESS ECOVIAS IMIG</v>
      </c>
      <c r="E70" s="150" t="str" cm="1">
        <f t="array" ref="E70">IF(C70="","",_xll.BDP($B70,E$8,"fill=b"))</f>
        <v/>
      </c>
      <c r="F70" s="150" t="str" cm="1">
        <f t="array" ref="F70">IF(B70="","",_xll.BDP($B70,F$8,"fill=b"))</f>
        <v/>
      </c>
      <c r="G70" s="150" t="str" cm="1">
        <f t="array" ref="G70">IF(B70="","",_xll.BDP($B70,G$8,"fill=b"))</f>
        <v/>
      </c>
      <c r="H70" s="150" t="str" cm="1">
        <f t="array" ref="H70">IF(B70="","",IF(LEFT(_xlfn.SINGLE(_xll.BDP($B70,H$8,"fill=b")),1)="#","-",_xll.BDP($B70,H$8,"fill=b")))</f>
        <v>1204213D IM</v>
      </c>
      <c r="I70" s="150" t="str" cm="1">
        <f t="array" ref="I70">IF(OR(B70="",TRIM(H70)="-"),"",_xll.BDP(H70&amp;" Equity",I$8,"fill=b"))</f>
        <v>AURELIA - SRL</v>
      </c>
      <c r="J70" s="150" t="str" cm="1">
        <f t="array" ref="J70">IF(OR($B70="",$H70="-"),"",_xll.BDP($H70&amp;" Equity",J$8,"fill=b"))</f>
        <v/>
      </c>
      <c r="K70" s="150" t="str" cm="1">
        <f t="array" ref="K70">IF(OR($B70="",$H70="-"),"",_xll.BDP($H70&amp;" Equity",K$8,"fill=b"))</f>
        <v/>
      </c>
      <c r="L70" s="258" t="str" cm="1">
        <f t="array" ref="L70">IF(OR($B70="",$H70="-"),"",_xll.BDP($H70&amp;" Equity",L$8,"fill=b"))</f>
        <v/>
      </c>
    </row>
    <row r="71" spans="2:12" x14ac:dyDescent="0.25">
      <c r="B71" s="182" t="str">
        <v>EJ637497 Corp</v>
      </c>
      <c r="C71" s="150" t="str" cm="1">
        <f t="array" ref="C71">IF(B71="","",_xll.BDP($B71,C$8,"fill=b"))</f>
        <v>VIVOBZ Float 04/25/18</v>
      </c>
      <c r="D71" s="150" t="str" cm="1">
        <f t="array" ref="D71">IF(B71="","",_xll.BDP($B71,D$8,"fill=b"))</f>
        <v>TELEFONICA BRASIL SA</v>
      </c>
      <c r="E71" s="150" t="str" cm="1">
        <f t="array" ref="E71">IF(C71="","",_xll.BDP($B71,E$8,"fill=b"))</f>
        <v/>
      </c>
      <c r="F71" s="150" t="str" cm="1">
        <f t="array" ref="F71">IF(B71="","",_xll.BDP($B71,F$8,"fill=b"))</f>
        <v/>
      </c>
      <c r="G71" s="150" t="str" cm="1">
        <f t="array" ref="G71">IF(B71="","",_xll.BDP($B71,G$8,"fill=b"))</f>
        <v/>
      </c>
      <c r="H71" s="150" t="str" cm="1">
        <f t="array" ref="H71">IF(B71="","",IF(LEFT(_xlfn.SINGLE(_xll.BDP($B71,H$8,"fill=b")),1)="#","-",_xll.BDP($B71,H$8,"fill=b")))</f>
        <v>TEF SM</v>
      </c>
      <c r="I71" s="150" t="str" cm="1">
        <f t="array" ref="I71">IF(OR(B71="",TRIM(H71)="-"),"",_xll.BDP(H71&amp;" Equity",I$8,"fill=b"))</f>
        <v>TELEFONICA SA</v>
      </c>
      <c r="J71" s="150" t="str" cm="1">
        <f t="array" ref="J71">IF(OR($B71="",$H71="-"),"",_xll.BDP($H71&amp;" Equity",J$8,"fill=b"))</f>
        <v>Baa3</v>
      </c>
      <c r="K71" s="150" t="str" cm="1">
        <f t="array" ref="K71">IF(OR($B71="",$H71="-"),"",_xll.BDP($H71&amp;" Equity",K$8,"fill=b"))</f>
        <v>BBB-</v>
      </c>
      <c r="L71" s="258" t="str" cm="1">
        <f t="array" ref="L71">IF(OR($B71="",$H71="-"),"",_xll.BDP($H71&amp;" Equity",L$8,"fill=b"))</f>
        <v/>
      </c>
    </row>
    <row r="72" spans="2:12" x14ac:dyDescent="0.25">
      <c r="B72" s="182" t="str">
        <v>EJ644109 Corp</v>
      </c>
      <c r="C72" s="150" t="str" cm="1">
        <f t="array" ref="C72">IF(B72="","",_xll.BDP($B72,C$8,"fill=b"))</f>
        <v>ECORBZ 4.28 04/15/24</v>
      </c>
      <c r="D72" s="150" t="str" cm="1">
        <f t="array" ref="D72">IF(B72="","",_xll.BDP($B72,D$8,"fill=b"))</f>
        <v>CONCESS ECOVIAS IMIG</v>
      </c>
      <c r="E72" s="150" t="str" cm="1">
        <f t="array" ref="E72">IF(C72="","",_xll.BDP($B72,E$8,"fill=b"))</f>
        <v/>
      </c>
      <c r="F72" s="150" t="str" cm="1">
        <f t="array" ref="F72">IF(B72="","",_xll.BDP($B72,F$8,"fill=b"))</f>
        <v/>
      </c>
      <c r="G72" s="150" t="str" cm="1">
        <f t="array" ref="G72">IF(B72="","",_xll.BDP($B72,G$8,"fill=b"))</f>
        <v/>
      </c>
      <c r="H72" s="150" t="str" cm="1">
        <f t="array" ref="H72">IF(B72="","",IF(LEFT(_xlfn.SINGLE(_xll.BDP($B72,H$8,"fill=b")),1)="#","-",_xll.BDP($B72,H$8,"fill=b")))</f>
        <v>1204213D IM</v>
      </c>
      <c r="I72" s="150" t="str" cm="1">
        <f t="array" ref="I72">IF(OR(B72="",TRIM(H72)="-"),"",_xll.BDP(H72&amp;" Equity",I$8,"fill=b"))</f>
        <v>AURELIA - SRL</v>
      </c>
      <c r="J72" s="150" t="str" cm="1">
        <f t="array" ref="J72">IF(OR($B72="",$H72="-"),"",_xll.BDP($H72&amp;" Equity",J$8,"fill=b"))</f>
        <v/>
      </c>
      <c r="K72" s="150" t="str" cm="1">
        <f t="array" ref="K72">IF(OR($B72="",$H72="-"),"",_xll.BDP($H72&amp;" Equity",K$8,"fill=b"))</f>
        <v/>
      </c>
      <c r="L72" s="258" t="str" cm="1">
        <f t="array" ref="L72">IF(OR($B72="",$H72="-"),"",_xll.BDP($H72&amp;" Equity",L$8,"fill=b"))</f>
        <v/>
      </c>
    </row>
    <row r="73" spans="2:12" x14ac:dyDescent="0.25">
      <c r="B73" s="182" t="str">
        <v>EJ662712 Corp</v>
      </c>
      <c r="C73" s="150" t="str" cm="1">
        <f t="array" ref="C73">IF(B73="","",_xll.BDP($B73,C$8,"fill=b"))</f>
        <v>RDCOSA Float 10/15/20</v>
      </c>
      <c r="D73" s="150" t="str" cm="1">
        <f t="array" ref="D73">IF(B73="","",_xll.BDP($B73,D$8,"fill=b"))</f>
        <v>RODOVIAS DAS COLINAS SA</v>
      </c>
      <c r="E73" s="150" t="str" cm="1">
        <f t="array" ref="E73">IF(C73="","",_xll.BDP($B73,E$8,"fill=b"))</f>
        <v/>
      </c>
      <c r="F73" s="150" t="str" cm="1">
        <f t="array" ref="F73">IF(B73="","",_xll.BDP($B73,F$8,"fill=b"))</f>
        <v>WR</v>
      </c>
      <c r="G73" s="150" t="str" cm="1">
        <f t="array" ref="G73">IF(B73="","",_xll.BDP($B73,G$8,"fill=b"))</f>
        <v/>
      </c>
      <c r="H73" s="150" t="str" cm="1">
        <f t="array" ref="H73">IF(B73="","",IF(LEFT(_xlfn.SINGLE(_xll.BDP($B73,H$8,"fill=b")),1)="#","-",_xll.BDP($B73,H$8,"fill=b")))</f>
        <v>3284233Z IM</v>
      </c>
      <c r="I73" s="150" t="str" cm="1">
        <f t="array" ref="I73">IF(OR(B73="",TRIM(H73)="-"),"",_xll.BDP(H73&amp;" Equity",I$8,"fill=b"))</f>
        <v>EDIZIONE SPA</v>
      </c>
      <c r="J73" s="150" t="str" cm="1">
        <f t="array" ref="J73">IF(OR($B73="",$H73="-"),"",_xll.BDP($H73&amp;" Equity",J$8,"fill=b"))</f>
        <v/>
      </c>
      <c r="K73" s="150" t="str" cm="1">
        <f t="array" ref="K73">IF(OR($B73="",$H73="-"),"",_xll.BDP($H73&amp;" Equity",K$8,"fill=b"))</f>
        <v/>
      </c>
      <c r="L73" s="258" t="str" cm="1">
        <f t="array" ref="L73">IF(OR($B73="",$H73="-"),"",_xll.BDP($H73&amp;" Equity",L$8,"fill=b"))</f>
        <v/>
      </c>
    </row>
    <row r="74" spans="2:12" x14ac:dyDescent="0.25">
      <c r="B74" s="182" t="str">
        <v>EJ662742 Corp</v>
      </c>
      <c r="C74" s="150" t="str" cm="1">
        <f t="array" ref="C74">IF(B74="","",_xll.BDP($B74,C$8,"fill=b"))</f>
        <v>RDCOSA 5 10/15/20</v>
      </c>
      <c r="D74" s="150" t="str" cm="1">
        <f t="array" ref="D74">IF(B74="","",_xll.BDP($B74,D$8,"fill=b"))</f>
        <v>RODOVIAS DAS COLINAS SA</v>
      </c>
      <c r="E74" s="150" t="str" cm="1">
        <f t="array" ref="E74">IF(C74="","",_xll.BDP($B74,E$8,"fill=b"))</f>
        <v/>
      </c>
      <c r="F74" s="150" t="str" cm="1">
        <f t="array" ref="F74">IF(B74="","",_xll.BDP($B74,F$8,"fill=b"))</f>
        <v>WR</v>
      </c>
      <c r="G74" s="150" t="str" cm="1">
        <f t="array" ref="G74">IF(B74="","",_xll.BDP($B74,G$8,"fill=b"))</f>
        <v/>
      </c>
      <c r="H74" s="150" t="str" cm="1">
        <f t="array" ref="H74">IF(B74="","",IF(LEFT(_xlfn.SINGLE(_xll.BDP($B74,H$8,"fill=b")),1)="#","-",_xll.BDP($B74,H$8,"fill=b")))</f>
        <v>3284233Z IM</v>
      </c>
      <c r="I74" s="150" t="str" cm="1">
        <f t="array" ref="I74">IF(OR(B74="",TRIM(H74)="-"),"",_xll.BDP(H74&amp;" Equity",I$8,"fill=b"))</f>
        <v>EDIZIONE SPA</v>
      </c>
      <c r="J74" s="150" t="str" cm="1">
        <f t="array" ref="J74">IF(OR($B74="",$H74="-"),"",_xll.BDP($H74&amp;" Equity",J$8,"fill=b"))</f>
        <v/>
      </c>
      <c r="K74" s="150" t="str" cm="1">
        <f t="array" ref="K74">IF(OR($B74="",$H74="-"),"",_xll.BDP($H74&amp;" Equity",K$8,"fill=b"))</f>
        <v/>
      </c>
      <c r="L74" s="258" t="str" cm="1">
        <f t="array" ref="L74">IF(OR($B74="",$H74="-"),"",_xll.BDP($H74&amp;" Equity",L$8,"fill=b"))</f>
        <v/>
      </c>
    </row>
    <row r="75" spans="2:12" x14ac:dyDescent="0.25">
      <c r="B75" s="182" t="str">
        <v>EJ662932 Corp</v>
      </c>
      <c r="C75" s="150" t="str" cm="1">
        <f t="array" ref="C75">IF(B75="","",_xll.BDP($B75,C$8,"fill=b"))</f>
        <v>RDCOSA 5.7 04/15/23</v>
      </c>
      <c r="D75" s="150" t="str" cm="1">
        <f t="array" ref="D75">IF(B75="","",_xll.BDP($B75,D$8,"fill=b"))</f>
        <v>RODOVIAS DAS COLINAS SA</v>
      </c>
      <c r="E75" s="150" t="str" cm="1">
        <f t="array" ref="E75">IF(C75="","",_xll.BDP($B75,E$8,"fill=b"))</f>
        <v/>
      </c>
      <c r="F75" s="150" t="str" cm="1">
        <f t="array" ref="F75">IF(B75="","",_xll.BDP($B75,F$8,"fill=b"))</f>
        <v>WR</v>
      </c>
      <c r="G75" s="150" t="str" cm="1">
        <f t="array" ref="G75">IF(B75="","",_xll.BDP($B75,G$8,"fill=b"))</f>
        <v/>
      </c>
      <c r="H75" s="150" t="str" cm="1">
        <f t="array" ref="H75">IF(B75="","",IF(LEFT(_xlfn.SINGLE(_xll.BDP($B75,H$8,"fill=b")),1)="#","-",_xll.BDP($B75,H$8,"fill=b")))</f>
        <v>3284233Z IM</v>
      </c>
      <c r="I75" s="150" t="str" cm="1">
        <f t="array" ref="I75">IF(OR(B75="",TRIM(H75)="-"),"",_xll.BDP(H75&amp;" Equity",I$8,"fill=b"))</f>
        <v>EDIZIONE SPA</v>
      </c>
      <c r="J75" s="150" t="str" cm="1">
        <f t="array" ref="J75">IF(OR($B75="",$H75="-"),"",_xll.BDP($H75&amp;" Equity",J$8,"fill=b"))</f>
        <v/>
      </c>
      <c r="K75" s="150" t="str" cm="1">
        <f t="array" ref="K75">IF(OR($B75="",$H75="-"),"",_xll.BDP($H75&amp;" Equity",K$8,"fill=b"))</f>
        <v/>
      </c>
      <c r="L75" s="258" t="str" cm="1">
        <f t="array" ref="L75">IF(OR($B75="",$H75="-"),"",_xll.BDP($H75&amp;" Equity",L$8,"fill=b"))</f>
        <v/>
      </c>
    </row>
    <row r="76" spans="2:12" x14ac:dyDescent="0.25">
      <c r="B76" s="182" t="str">
        <v>EJ688306 Corp</v>
      </c>
      <c r="C76" s="150" t="str" cm="1">
        <f t="array" ref="C76">IF(B76="","",_xll.BDP($B76,C$8,"fill=b"))</f>
        <v>AES Float 05/15/19</v>
      </c>
      <c r="D76" s="150" t="str" cm="1">
        <f t="array" ref="D76">IF(B76="","",_xll.BDP($B76,D$8,"fill=b"))</f>
        <v>AES TIETE SA</v>
      </c>
      <c r="E76" s="150" t="str" cm="1">
        <f t="array" ref="E76">IF(C76="","",_xll.BDP($B76,E$8,"fill=b"))</f>
        <v/>
      </c>
      <c r="F76" s="150" t="str" cm="1">
        <f t="array" ref="F76">IF(B76="","",_xll.BDP($B76,F$8,"fill=b"))</f>
        <v>WR</v>
      </c>
      <c r="G76" s="150" t="str" cm="1">
        <f t="array" ref="G76">IF(B76="","",_xll.BDP($B76,G$8,"fill=b"))</f>
        <v/>
      </c>
      <c r="H76" s="150" t="str" cm="1">
        <f t="array" ref="H76">IF(B76="","",IF(LEFT(_xlfn.SINGLE(_xll.BDP($B76,H$8,"fill=b")),1)="#","-",_xll.BDP($B76,H$8,"fill=b")))</f>
        <v>AURE3 BZ</v>
      </c>
      <c r="I76" s="150" t="str" cm="1">
        <f t="array" ref="I76">IF(OR(B76="",TRIM(H76)="-"),"",_xll.BDP(H76&amp;" Equity",I$8,"fill=b"))</f>
        <v>AUREN ENERGIA SA - ON</v>
      </c>
      <c r="J76" s="150" t="str" cm="1">
        <f t="array" ref="J76">IF(OR($B76="",$H76="-"),"",_xll.BDP($H76&amp;" Equity",J$8,"fill=b"))</f>
        <v/>
      </c>
      <c r="K76" s="150" t="str" cm="1">
        <f t="array" ref="K76">IF(OR($B76="",$H76="-"),"",_xll.BDP($H76&amp;" Equity",K$8,"fill=b"))</f>
        <v/>
      </c>
      <c r="L76" s="258" t="str" cm="1">
        <f t="array" ref="L76">IF(OR($B76="",$H76="-"),"",_xll.BDP($H76&amp;" Equity",L$8,"fill=b"))</f>
        <v>BBB-</v>
      </c>
    </row>
    <row r="77" spans="2:12" x14ac:dyDescent="0.25">
      <c r="B77" s="182" t="str">
        <v>EJ708871 Corp</v>
      </c>
      <c r="C77" s="150" t="str" cm="1">
        <f t="array" ref="C77">IF(B77="","",_xll.BDP($B77,C$8,"fill=b"))</f>
        <v>GEPABZ Float 07/16/18</v>
      </c>
      <c r="D77" s="150" t="str" cm="1">
        <f t="array" ref="D77">IF(B77="","",_xll.BDP($B77,D$8,"fill=b"))</f>
        <v>RIO PARANAPANEMA ENERGIA</v>
      </c>
      <c r="E77" s="150" t="str" cm="1">
        <f t="array" ref="E77">IF(C77="","",_xll.BDP($B77,E$8,"fill=b"))</f>
        <v/>
      </c>
      <c r="F77" s="150" t="str" cm="1">
        <f t="array" ref="F77">IF(B77="","",_xll.BDP($B77,F$8,"fill=b"))</f>
        <v>WR</v>
      </c>
      <c r="G77" s="150" t="str" cm="1">
        <f t="array" ref="G77">IF(B77="","",_xll.BDP($B77,G$8,"fill=b"))</f>
        <v/>
      </c>
      <c r="H77" s="150" t="str" cm="1">
        <f t="array" ref="H77">IF(B77="","",IF(LEFT(_xlfn.SINGLE(_xll.BDP($B77,H$8,"fill=b")),1)="#","-",_xll.BDP($B77,H$8,"fill=b")))</f>
        <v>PRCH CH</v>
      </c>
      <c r="I77" s="150" t="str" cm="1">
        <f t="array" ref="I77">IF(OR(B77="",TRIM(H77)="-"),"",_xll.BDP(H77&amp;" Equity",I$8,"fill=b"))</f>
        <v>PEOPLE'S REPUBLIC OF CHINA</v>
      </c>
      <c r="J77" s="150" t="str" cm="1">
        <f t="array" ref="J77">IF(OR($B77="",$H77="-"),"",_xll.BDP($H77&amp;" Equity",J$8,"fill=b"))</f>
        <v>A1</v>
      </c>
      <c r="K77" s="150" t="str" cm="1">
        <f t="array" ref="K77">IF(OR($B77="",$H77="-"),"",_xll.BDP($H77&amp;" Equity",K$8,"fill=b"))</f>
        <v>A+</v>
      </c>
      <c r="L77" s="258" t="str" cm="1">
        <f t="array" ref="L77">IF(OR($B77="",$H77="-"),"",_xll.BDP($H77&amp;" Equity",L$8,"fill=b"))</f>
        <v>Au</v>
      </c>
    </row>
    <row r="78" spans="2:12" x14ac:dyDescent="0.25">
      <c r="B78" s="182" t="str">
        <v>EJ721111 Corp</v>
      </c>
      <c r="C78" s="150" t="str" cm="1">
        <f t="array" ref="C78">IF(B78="","",_xll.BDP($B78,C$8,"fill=b"))</f>
        <v>JSLGBZ 7 1/2 07/15/20</v>
      </c>
      <c r="D78" s="150" t="str" cm="1">
        <f t="array" ref="D78">IF(B78="","",_xll.BDP($B78,D$8,"fill=b"))</f>
        <v>JSL SA</v>
      </c>
      <c r="E78" s="150" t="str" cm="1">
        <f t="array" ref="E78">IF(C78="","",_xll.BDP($B78,E$8,"fill=b"))</f>
        <v/>
      </c>
      <c r="F78" s="150" t="str" cm="1">
        <f t="array" ref="F78">IF(B78="","",_xll.BDP($B78,F$8,"fill=b"))</f>
        <v/>
      </c>
      <c r="G78" s="150" t="str" cm="1">
        <f t="array" ref="G78">IF(B78="","",_xll.BDP($B78,G$8,"fill=b"))</f>
        <v/>
      </c>
      <c r="H78" s="150" t="str" cm="1">
        <f t="array" ref="H78">IF(B78="","",IF(LEFT(_xlfn.SINGLE(_xll.BDP($B78,H$8,"fill=b")),1)="#","-",_xll.BDP($B78,H$8,"fill=b")))</f>
        <v>1936410D BZ</v>
      </c>
      <c r="I78" s="150" t="str" cm="1">
        <f t="array" ref="I78">IF(OR(B78="",TRIM(H78)="-"),"",_xll.BDP(H78&amp;" Equity",I$8,"fill=b"))</f>
        <v>JSP HOLDING SA</v>
      </c>
      <c r="J78" s="150" t="str" cm="1">
        <f t="array" ref="J78">IF(OR($B78="",$H78="-"),"",_xll.BDP($H78&amp;" Equity",J$8,"fill=b"))</f>
        <v/>
      </c>
      <c r="K78" s="150" t="str" cm="1">
        <f t="array" ref="K78">IF(OR($B78="",$H78="-"),"",_xll.BDP($H78&amp;" Equity",K$8,"fill=b"))</f>
        <v/>
      </c>
      <c r="L78" s="258" t="str" cm="1">
        <f t="array" ref="L78">IF(OR($B78="",$H78="-"),"",_xll.BDP($H78&amp;" Equity",L$8,"fill=b"))</f>
        <v/>
      </c>
    </row>
    <row r="79" spans="2:12" x14ac:dyDescent="0.25">
      <c r="B79" s="182" t="str">
        <v>EJ721116 Corp</v>
      </c>
      <c r="C79" s="150" t="str" cm="1">
        <f t="array" ref="C79">IF(B79="","",_xll.BDP($B79,C$8,"fill=b"))</f>
        <v>JSLGBZ Float 07/15/20</v>
      </c>
      <c r="D79" s="150" t="str" cm="1">
        <f t="array" ref="D79">IF(B79="","",_xll.BDP($B79,D$8,"fill=b"))</f>
        <v>JSL SA</v>
      </c>
      <c r="E79" s="150" t="str" cm="1">
        <f t="array" ref="E79">IF(C79="","",_xll.BDP($B79,E$8,"fill=b"))</f>
        <v/>
      </c>
      <c r="F79" s="150" t="str" cm="1">
        <f t="array" ref="F79">IF(B79="","",_xll.BDP($B79,F$8,"fill=b"))</f>
        <v/>
      </c>
      <c r="G79" s="150" t="str" cm="1">
        <f t="array" ref="G79">IF(B79="","",_xll.BDP($B79,G$8,"fill=b"))</f>
        <v/>
      </c>
      <c r="H79" s="150" t="str" cm="1">
        <f t="array" ref="H79">IF(B79="","",IF(LEFT(_xlfn.SINGLE(_xll.BDP($B79,H$8,"fill=b")),1)="#","-",_xll.BDP($B79,H$8,"fill=b")))</f>
        <v>1936410D BZ</v>
      </c>
      <c r="I79" s="150" t="str" cm="1">
        <f t="array" ref="I79">IF(OR(B79="",TRIM(H79)="-"),"",_xll.BDP(H79&amp;" Equity",I$8,"fill=b"))</f>
        <v>JSP HOLDING SA</v>
      </c>
      <c r="J79" s="150" t="str" cm="1">
        <f t="array" ref="J79">IF(OR($B79="",$H79="-"),"",_xll.BDP($H79&amp;" Equity",J$8,"fill=b"))</f>
        <v/>
      </c>
      <c r="K79" s="150" t="str" cm="1">
        <f t="array" ref="K79">IF(OR($B79="",$H79="-"),"",_xll.BDP($H79&amp;" Equity",K$8,"fill=b"))</f>
        <v/>
      </c>
      <c r="L79" s="258" t="str" cm="1">
        <f t="array" ref="L79">IF(OR($B79="",$H79="-"),"",_xll.BDP($H79&amp;" Equity",L$8,"fill=b"))</f>
        <v/>
      </c>
    </row>
    <row r="80" spans="2:12" x14ac:dyDescent="0.25">
      <c r="B80" s="182" t="str">
        <v>EJ721121 Corp</v>
      </c>
      <c r="C80" s="150" t="str" cm="1">
        <f t="array" ref="C80">IF(B80="","",_xll.BDP($B80,C$8,"fill=b"))</f>
        <v>JSLGBZ Float 07/15/18</v>
      </c>
      <c r="D80" s="150" t="str" cm="1">
        <f t="array" ref="D80">IF(B80="","",_xll.BDP($B80,D$8,"fill=b"))</f>
        <v>JSL SA</v>
      </c>
      <c r="E80" s="150" t="str" cm="1">
        <f t="array" ref="E80">IF(C80="","",_xll.BDP($B80,E$8,"fill=b"))</f>
        <v/>
      </c>
      <c r="F80" s="150" t="str" cm="1">
        <f t="array" ref="F80">IF(B80="","",_xll.BDP($B80,F$8,"fill=b"))</f>
        <v/>
      </c>
      <c r="G80" s="150" t="str" cm="1">
        <f t="array" ref="G80">IF(B80="","",_xll.BDP($B80,G$8,"fill=b"))</f>
        <v/>
      </c>
      <c r="H80" s="150" t="str" cm="1">
        <f t="array" ref="H80">IF(B80="","",IF(LEFT(_xlfn.SINGLE(_xll.BDP($B80,H$8,"fill=b")),1)="#","-",_xll.BDP($B80,H$8,"fill=b")))</f>
        <v>1936410D BZ</v>
      </c>
      <c r="I80" s="150" t="str" cm="1">
        <f t="array" ref="I80">IF(OR(B80="",TRIM(H80)="-"),"",_xll.BDP(H80&amp;" Equity",I$8,"fill=b"))</f>
        <v>JSP HOLDING SA</v>
      </c>
      <c r="J80" s="150" t="str" cm="1">
        <f t="array" ref="J80">IF(OR($B80="",$H80="-"),"",_xll.BDP($H80&amp;" Equity",J$8,"fill=b"))</f>
        <v/>
      </c>
      <c r="K80" s="150" t="str" cm="1">
        <f t="array" ref="K80">IF(OR($B80="",$H80="-"),"",_xll.BDP($H80&amp;" Equity",K$8,"fill=b"))</f>
        <v/>
      </c>
      <c r="L80" s="258" t="str" cm="1">
        <f t="array" ref="L80">IF(OR($B80="",$H80="-"),"",_xll.BDP($H80&amp;" Equity",L$8,"fill=b"))</f>
        <v/>
      </c>
    </row>
    <row r="81" spans="2:12" x14ac:dyDescent="0.25">
      <c r="B81" s="182" t="str">
        <v>EJ726290 Corp</v>
      </c>
      <c r="C81" s="150" t="str" cm="1">
        <f t="array" ref="C81">IF(B81="","",_xll.BDP($B81,C$8,"fill=b"))</f>
        <v>RAIZBZ Float 10/15/18</v>
      </c>
      <c r="D81" s="150" t="str" cm="1">
        <f t="array" ref="D81">IF(B81="","",_xll.BDP($B81,D$8,"fill=b"))</f>
        <v>RAIZEN ENERGIA SA</v>
      </c>
      <c r="E81" s="150" t="str" cm="1">
        <f t="array" ref="E81">IF(C81="","",_xll.BDP($B81,E$8,"fill=b"))</f>
        <v/>
      </c>
      <c r="F81" s="150" t="str" cm="1">
        <f t="array" ref="F81">IF(B81="","",_xll.BDP($B81,F$8,"fill=b"))</f>
        <v/>
      </c>
      <c r="G81" s="150" t="str" cm="1">
        <f t="array" ref="G81">IF(B81="","",_xll.BDP($B81,G$8,"fill=b"))</f>
        <v/>
      </c>
      <c r="H81" s="150" t="str" cm="1">
        <f t="array" ref="H81">IF(B81="","",IF(LEFT(_xlfn.SINGLE(_xll.BDP($B81,H$8,"fill=b")),1)="#","-",_xll.BDP($B81,H$8,"fill=b")))</f>
        <v>RAIZ4 BZ</v>
      </c>
      <c r="I81" s="150" t="str" cm="1">
        <f t="array" ref="I81">IF(OR(B81="",TRIM(H81)="-"),"",_xll.BDP(H81&amp;" Equity",I$8,"fill=b"))</f>
        <v>RAIZEN SA - PREFERENCE</v>
      </c>
      <c r="J81" s="150" t="str" cm="1">
        <f t="array" ref="J81">IF(OR($B81="",$H81="-"),"",_xll.BDP($H81&amp;" Equity",J$8,"fill=b"))</f>
        <v>Baa3</v>
      </c>
      <c r="K81" s="150" t="str" cm="1">
        <f t="array" ref="K81">IF(OR($B81="",$H81="-"),"",_xll.BDP($H81&amp;" Equity",K$8,"fill=b"))</f>
        <v>BBB</v>
      </c>
      <c r="L81" s="258" t="str" cm="1">
        <f t="array" ref="L81">IF(OR($B81="",$H81="-"),"",_xll.BDP($H81&amp;" Equity",L$8,"fill=b"))</f>
        <v>BBB</v>
      </c>
    </row>
    <row r="82" spans="2:12" x14ac:dyDescent="0.25">
      <c r="B82" s="182" t="str">
        <v>EJ757049 Corp</v>
      </c>
      <c r="C82" s="150" t="str" cm="1">
        <f t="array" ref="C82">IF(B82="","",_xll.BDP($B82,C$8,"fill=b"))</f>
        <v>LRENSA Float 08/01/18</v>
      </c>
      <c r="D82" s="150" t="str" cm="1">
        <f t="array" ref="D82">IF(B82="","",_xll.BDP($B82,D$8,"fill=b"))</f>
        <v>LOJAS RENNER SA</v>
      </c>
      <c r="E82" s="150" t="str" cm="1">
        <f t="array" ref="E82">IF(C82="","",_xll.BDP($B82,E$8,"fill=b"))</f>
        <v/>
      </c>
      <c r="F82" s="150" t="str" cm="1">
        <f t="array" ref="F82">IF(B82="","",_xll.BDP($B82,F$8,"fill=b"))</f>
        <v/>
      </c>
      <c r="G82" s="150" t="str" cm="1">
        <f t="array" ref="G82">IF(B82="","",_xll.BDP($B82,G$8,"fill=b"))</f>
        <v/>
      </c>
      <c r="H82" s="150" t="str" cm="1">
        <f t="array" ref="H82">IF(B82="","",IF(LEFT(_xlfn.SINGLE(_xll.BDP($B82,H$8,"fill=b")),1)="#","-",_xll.BDP($B82,H$8,"fill=b")))</f>
        <v>LREN3 BZ</v>
      </c>
      <c r="I82" s="150" t="str" cm="1">
        <f t="array" ref="I82">IF(OR(B82="",TRIM(H82)="-"),"",_xll.BDP(H82&amp;" Equity",I$8,"fill=b"))</f>
        <v>LOJAS RENNER S.A.</v>
      </c>
      <c r="J82" s="150" t="str" cm="1">
        <f t="array" ref="J82">IF(OR($B82="",$H82="-"),"",_xll.BDP($H82&amp;" Equity",J$8,"fill=b"))</f>
        <v/>
      </c>
      <c r="K82" s="150" t="str" cm="1">
        <f t="array" ref="K82">IF(OR($B82="",$H82="-"),"",_xll.BDP($H82&amp;" Equity",K$8,"fill=b"))</f>
        <v/>
      </c>
      <c r="L82" s="258" t="str" cm="1">
        <f t="array" ref="L82">IF(OR($B82="",$H82="-"),"",_xll.BDP($H82&amp;" Equity",L$8,"fill=b"))</f>
        <v/>
      </c>
    </row>
    <row r="83" spans="2:12" x14ac:dyDescent="0.25">
      <c r="B83" s="182" t="str">
        <v>EJ792771 Corp</v>
      </c>
      <c r="C83" s="150" t="str" cm="1">
        <f t="array" ref="C83">IF(B83="","",_xll.BDP($B83,C$8,"fill=b"))</f>
        <v>BRTPBZ 7.4 10/15/23</v>
      </c>
      <c r="D83" s="150" t="str" cm="1">
        <f t="array" ref="D83">IF(B83="","",_xll.BDP($B83,D$8,"fill=b"))</f>
        <v>BR TOWERS SPE1 SA</v>
      </c>
      <c r="E83" s="150" t="str" cm="1">
        <f t="array" ref="E83">IF(C83="","",_xll.BDP($B83,E$8,"fill=b"))</f>
        <v/>
      </c>
      <c r="F83" s="150" t="str" cm="1">
        <f t="array" ref="F83">IF(B83="","",_xll.BDP($B83,F$8,"fill=b"))</f>
        <v/>
      </c>
      <c r="G83" s="150" t="str" cm="1">
        <f t="array" ref="G83">IF(B83="","",_xll.BDP($B83,G$8,"fill=b"))</f>
        <v/>
      </c>
      <c r="H83" s="150" t="str" cm="1">
        <f t="array" ref="H83">IF(B83="","",IF(LEFT(_xlfn.SINGLE(_xll.BDP($B83,H$8,"fill=b")),1)="#","-",_xll.BDP($B83,H$8,"fill=b")))</f>
        <v>0919227D BZ</v>
      </c>
      <c r="I83" s="150" t="str" cm="1">
        <f t="array" ref="I83">IF(OR(B83="",TRIM(H83)="-"),"",_xll.BDP(H83&amp;" Equity",I$8,"fill=b"))</f>
        <v>BR TOWERS SPE 1 SA</v>
      </c>
      <c r="J83" s="150" t="str" cm="1">
        <f t="array" ref="J83">IF(OR($B83="",$H83="-"),"",_xll.BDP($H83&amp;" Equity",J$8,"fill=b"))</f>
        <v/>
      </c>
      <c r="K83" s="150" t="str" cm="1">
        <f t="array" ref="K83">IF(OR($B83="",$H83="-"),"",_xll.BDP($H83&amp;" Equity",K$8,"fill=b"))</f>
        <v/>
      </c>
      <c r="L83" s="258" t="str" cm="1">
        <f t="array" ref="L83">IF(OR($B83="",$H83="-"),"",_xll.BDP($H83&amp;" Equity",L$8,"fill=b"))</f>
        <v/>
      </c>
    </row>
    <row r="84" spans="2:12" x14ac:dyDescent="0.25">
      <c r="B84" s="182" t="str">
        <v>EJ800554 Corp</v>
      </c>
      <c r="C84" s="150" t="str" cm="1">
        <f t="array" ref="C84">IF(B84="","",_xll.BDP($B84,C$8,"fill=b"))</f>
        <v>CGASBZ Float 09/15/19</v>
      </c>
      <c r="D84" s="150" t="str" cm="1">
        <f t="array" ref="D84">IF(B84="","",_xll.BDP($B84,D$8,"fill=b"))</f>
        <v>CIA DE GAS DE SAO PAULO</v>
      </c>
      <c r="E84" s="150" t="str" cm="1">
        <f t="array" ref="E84">IF(C84="","",_xll.BDP($B84,E$8,"fill=b"))</f>
        <v/>
      </c>
      <c r="F84" s="150" t="str" cm="1">
        <f t="array" ref="F84">IF(B84="","",_xll.BDP($B84,F$8,"fill=b"))</f>
        <v/>
      </c>
      <c r="G84" s="150" t="str" cm="1">
        <f t="array" ref="G84">IF(B84="","",_xll.BDP($B84,G$8,"fill=b"))</f>
        <v/>
      </c>
      <c r="H84" s="150" t="str" cm="1">
        <f t="array" ref="H84">IF(B84="","",IF(LEFT(_xlfn.SINGLE(_xll.BDP($B84,H$8,"fill=b")),1)="#","-",_xll.BDP($B84,H$8,"fill=b")))</f>
        <v>CSAN3 BZ</v>
      </c>
      <c r="I84" s="150" t="str" cm="1">
        <f t="array" ref="I84">IF(OR(B84="",TRIM(H84)="-"),"",_xll.BDP(H84&amp;" Equity",I$8,"fill=b"))</f>
        <v>COSAN SA</v>
      </c>
      <c r="J84" s="150" t="str" cm="1">
        <f t="array" ref="J84">IF(OR($B84="",$H84="-"),"",_xll.BDP($H84&amp;" Equity",J$8,"fill=b"))</f>
        <v>Ba2</v>
      </c>
      <c r="K84" s="150" t="str" cm="1">
        <f t="array" ref="K84">IF(OR($B84="",$H84="-"),"",_xll.BDP($H84&amp;" Equity",K$8,"fill=b"))</f>
        <v>BB</v>
      </c>
      <c r="L84" s="258" t="str" cm="1">
        <f t="array" ref="L84">IF(OR($B84="",$H84="-"),"",_xll.BDP($H84&amp;" Equity",L$8,"fill=b"))</f>
        <v>BB</v>
      </c>
    </row>
    <row r="85" spans="2:12" x14ac:dyDescent="0.25">
      <c r="B85" s="182" t="str">
        <v>EJ810145 Corp</v>
      </c>
      <c r="C85" s="150" t="str" cm="1">
        <f t="array" ref="C85">IF(B85="","",_xll.BDP($B85,C$8,"fill=b"))</f>
        <v>DASABZ Float 10/15/18</v>
      </c>
      <c r="D85" s="150" t="str" cm="1">
        <f t="array" ref="D85">IF(B85="","",_xll.BDP($B85,D$8,"fill=b"))</f>
        <v>DIAGNOSTICOS AMERICA</v>
      </c>
      <c r="E85" s="150" t="str" cm="1">
        <f t="array" ref="E85">IF(C85="","",_xll.BDP($B85,E$8,"fill=b"))</f>
        <v/>
      </c>
      <c r="F85" s="150" t="str" cm="1">
        <f t="array" ref="F85">IF(B85="","",_xll.BDP($B85,F$8,"fill=b"))</f>
        <v/>
      </c>
      <c r="G85" s="150" t="str" cm="1">
        <f t="array" ref="G85">IF(B85="","",_xll.BDP($B85,G$8,"fill=b"))</f>
        <v/>
      </c>
      <c r="H85" s="150" t="str" cm="1">
        <f t="array" ref="H85">IF(B85="","",IF(LEFT(_xlfn.SINGLE(_xll.BDP($B85,H$8,"fill=b")),1)="#","-",_xll.BDP($B85,H$8,"fill=b")))</f>
        <v>-</v>
      </c>
      <c r="I85" s="150" t="str">
        <f>IF(OR(B85="",TRIM(H85)="-"),"",_xll.BDP(H85&amp;" Equity",I$8,"fill=b"))</f>
        <v/>
      </c>
      <c r="J85" s="150" t="str">
        <f>IF(OR($B85="",$H85="-"),"",_xll.BDP($H85&amp;" Equity",J$8,"fill=b"))</f>
        <v/>
      </c>
      <c r="K85" s="150" t="str">
        <f>IF(OR($B85="",$H85="-"),"",_xll.BDP($H85&amp;" Equity",K$8,"fill=b"))</f>
        <v/>
      </c>
      <c r="L85" s="258" t="str">
        <f>IF(OR($B85="",$H85="-"),"",_xll.BDP($H85&amp;" Equity",L$8,"fill=b"))</f>
        <v/>
      </c>
    </row>
    <row r="86" spans="2:12" x14ac:dyDescent="0.25">
      <c r="B86" s="182" t="str">
        <v>EJ816446 Corp</v>
      </c>
      <c r="C86" s="150" t="str" cm="1">
        <f t="array" ref="C86">IF(B86="","",_xll.BDP($B86,C$8,"fill=b"))</f>
        <v>CGASBZ 5.1 09/15/18</v>
      </c>
      <c r="D86" s="150" t="str" cm="1">
        <f t="array" ref="D86">IF(B86="","",_xll.BDP($B86,D$8,"fill=b"))</f>
        <v>COMPANHIA DE GAS DE SAO</v>
      </c>
      <c r="E86" s="150" t="str" cm="1">
        <f t="array" ref="E86">IF(C86="","",_xll.BDP($B86,E$8,"fill=b"))</f>
        <v/>
      </c>
      <c r="F86" s="150" t="str" cm="1">
        <f t="array" ref="F86">IF(B86="","",_xll.BDP($B86,F$8,"fill=b"))</f>
        <v/>
      </c>
      <c r="G86" s="150" t="str" cm="1">
        <f t="array" ref="G86">IF(B86="","",_xll.BDP($B86,G$8,"fill=b"))</f>
        <v/>
      </c>
      <c r="H86" s="150" t="str" cm="1">
        <f t="array" ref="H86">IF(B86="","",IF(LEFT(_xlfn.SINGLE(_xll.BDP($B86,H$8,"fill=b")),1)="#","-",_xll.BDP($B86,H$8,"fill=b")))</f>
        <v>CSAN3 BZ</v>
      </c>
      <c r="I86" s="150" t="str" cm="1">
        <f t="array" ref="I86">IF(OR(B86="",TRIM(H86)="-"),"",_xll.BDP(H86&amp;" Equity",I$8,"fill=b"))</f>
        <v>COSAN SA</v>
      </c>
      <c r="J86" s="150" t="str" cm="1">
        <f t="array" ref="J86">IF(OR($B86="",$H86="-"),"",_xll.BDP($H86&amp;" Equity",J$8,"fill=b"))</f>
        <v>Ba2</v>
      </c>
      <c r="K86" s="150" t="str" cm="1">
        <f t="array" ref="K86">IF(OR($B86="",$H86="-"),"",_xll.BDP($H86&amp;" Equity",K$8,"fill=b"))</f>
        <v>BB</v>
      </c>
      <c r="L86" s="258" t="str" cm="1">
        <f t="array" ref="L86">IF(OR($B86="",$H86="-"),"",_xll.BDP($H86&amp;" Equity",L$8,"fill=b"))</f>
        <v>BB</v>
      </c>
    </row>
    <row r="87" spans="2:12" x14ac:dyDescent="0.25">
      <c r="B87" s="182" t="str">
        <v>EJ816466 Corp</v>
      </c>
      <c r="C87" s="150" t="str" cm="1">
        <f t="array" ref="C87">IF(B87="","",_xll.BDP($B87,C$8,"fill=b"))</f>
        <v>CGASBZ 5.57 09/15/20</v>
      </c>
      <c r="D87" s="150" t="str" cm="1">
        <f t="array" ref="D87">IF(B87="","",_xll.BDP($B87,D$8,"fill=b"))</f>
        <v>CIA DE GAS DE SAO PAULO</v>
      </c>
      <c r="E87" s="150" t="str" cm="1">
        <f t="array" ref="E87">IF(C87="","",_xll.BDP($B87,E$8,"fill=b"))</f>
        <v/>
      </c>
      <c r="F87" s="150" t="str" cm="1">
        <f t="array" ref="F87">IF(B87="","",_xll.BDP($B87,F$8,"fill=b"))</f>
        <v>WR</v>
      </c>
      <c r="G87" s="150" t="str" cm="1">
        <f t="array" ref="G87">IF(B87="","",_xll.BDP($B87,G$8,"fill=b"))</f>
        <v/>
      </c>
      <c r="H87" s="150" t="str" cm="1">
        <f t="array" ref="H87">IF(B87="","",IF(LEFT(_xlfn.SINGLE(_xll.BDP($B87,H$8,"fill=b")),1)="#","-",_xll.BDP($B87,H$8,"fill=b")))</f>
        <v>CSAN3 BZ</v>
      </c>
      <c r="I87" s="150" t="str" cm="1">
        <f t="array" ref="I87">IF(OR(B87="",TRIM(H87)="-"),"",_xll.BDP(H87&amp;" Equity",I$8,"fill=b"))</f>
        <v>COSAN SA</v>
      </c>
      <c r="J87" s="150" t="str" cm="1">
        <f t="array" ref="J87">IF(OR($B87="",$H87="-"),"",_xll.BDP($H87&amp;" Equity",J$8,"fill=b"))</f>
        <v>Ba2</v>
      </c>
      <c r="K87" s="150" t="str" cm="1">
        <f t="array" ref="K87">IF(OR($B87="",$H87="-"),"",_xll.BDP($H87&amp;" Equity",K$8,"fill=b"))</f>
        <v>BB</v>
      </c>
      <c r="L87" s="258" t="str" cm="1">
        <f t="array" ref="L87">IF(OR($B87="",$H87="-"),"",_xll.BDP($H87&amp;" Equity",L$8,"fill=b"))</f>
        <v>BB</v>
      </c>
    </row>
    <row r="88" spans="2:12" x14ac:dyDescent="0.25">
      <c r="B88" s="182" t="str">
        <v>EJ831762 Corp</v>
      </c>
      <c r="C88" s="150" t="str" cm="1">
        <f t="array" ref="C88">IF(B88="","",_xll.BDP($B88,C$8,"fill=b"))</f>
        <v>SAPRBZ Float 11/15/18</v>
      </c>
      <c r="D88" s="150" t="str" cm="1">
        <f t="array" ref="D88">IF(B88="","",_xll.BDP($B88,D$8,"fill=b"))</f>
        <v>CIA DE SANEAMENTO DO PAR</v>
      </c>
      <c r="E88" s="150" t="str" cm="1">
        <f t="array" ref="E88">IF(C88="","",_xll.BDP($B88,E$8,"fill=b"))</f>
        <v/>
      </c>
      <c r="F88" s="150" t="str" cm="1">
        <f t="array" ref="F88">IF(B88="","",_xll.BDP($B88,F$8,"fill=b"))</f>
        <v/>
      </c>
      <c r="G88" s="150" t="str" cm="1">
        <f t="array" ref="G88">IF(B88="","",_xll.BDP($B88,G$8,"fill=b"))</f>
        <v/>
      </c>
      <c r="H88" s="150" t="str" cm="1">
        <f t="array" ref="H88">IF(B88="","",IF(LEFT(_xlfn.SINGLE(_xll.BDP($B88,H$8,"fill=b")),1)="#","-",_xll.BDP($B88,H$8,"fill=b")))</f>
        <v>SAPR4 BZ</v>
      </c>
      <c r="I88" s="150" t="str" cm="1">
        <f t="array" ref="I88">IF(OR(B88="",TRIM(H88)="-"),"",_xll.BDP(H88&amp;" Equity",I$8,"fill=b"))</f>
        <v>CIA SANEAMENTO DO PARANA-PRF</v>
      </c>
      <c r="J88" s="150" t="str" cm="1">
        <f t="array" ref="J88">IF(OR($B88="",$H88="-"),"",_xll.BDP($H88&amp;" Equity",J$8,"fill=b"))</f>
        <v/>
      </c>
      <c r="K88" s="150" t="str" cm="1">
        <f t="array" ref="K88">IF(OR($B88="",$H88="-"),"",_xll.BDP($H88&amp;" Equity",K$8,"fill=b"))</f>
        <v/>
      </c>
      <c r="L88" s="258" t="str" cm="1">
        <f t="array" ref="L88">IF(OR($B88="",$H88="-"),"",_xll.BDP($H88&amp;" Equity",L$8,"fill=b"))</f>
        <v/>
      </c>
    </row>
    <row r="89" spans="2:12" x14ac:dyDescent="0.25">
      <c r="B89" s="182" t="str">
        <v>EJ831762 Corp</v>
      </c>
      <c r="C89" s="150" t="str" cm="1">
        <f t="array" ref="C89">IF(B89="","",_xll.BDP($B89,C$8,"fill=b"))</f>
        <v>SAPRBZ Float 11/15/18</v>
      </c>
      <c r="D89" s="150" t="str" cm="1">
        <f t="array" ref="D89">IF(B89="","",_xll.BDP($B89,D$8,"fill=b"))</f>
        <v>CIA DE SANEAMENTO DO PAR</v>
      </c>
      <c r="E89" s="150" t="str" cm="1">
        <f t="array" ref="E89">IF(C89="","",_xll.BDP($B89,E$8,"fill=b"))</f>
        <v/>
      </c>
      <c r="F89" s="150" t="str" cm="1">
        <f t="array" ref="F89">IF(B89="","",_xll.BDP($B89,F$8,"fill=b"))</f>
        <v/>
      </c>
      <c r="G89" s="150" t="str" cm="1">
        <f t="array" ref="G89">IF(B89="","",_xll.BDP($B89,G$8,"fill=b"))</f>
        <v/>
      </c>
      <c r="H89" s="150" t="str" cm="1">
        <f t="array" ref="H89">IF(B89="","",IF(LEFT(_xlfn.SINGLE(_xll.BDP($B89,H$8,"fill=b")),1)="#","-",_xll.BDP($B89,H$8,"fill=b")))</f>
        <v>SAPR4 BZ</v>
      </c>
      <c r="I89" s="150" t="str" cm="1">
        <f t="array" ref="I89">IF(OR(B89="",TRIM(H89)="-"),"",_xll.BDP(H89&amp;" Equity",I$8,"fill=b"))</f>
        <v>CIA SANEAMENTO DO PARANA-PRF</v>
      </c>
      <c r="J89" s="150" t="str" cm="1">
        <f t="array" ref="J89">IF(OR($B89="",$H89="-"),"",_xll.BDP($H89&amp;" Equity",J$8,"fill=b"))</f>
        <v/>
      </c>
      <c r="K89" s="150" t="str" cm="1">
        <f t="array" ref="K89">IF(OR($B89="",$H89="-"),"",_xll.BDP($H89&amp;" Equity",K$8,"fill=b"))</f>
        <v/>
      </c>
      <c r="L89" s="258" t="str" cm="1">
        <f t="array" ref="L89">IF(OR($B89="",$H89="-"),"",_xll.BDP($H89&amp;" Equity",L$8,"fill=b"))</f>
        <v/>
      </c>
    </row>
    <row r="90" spans="2:12" x14ac:dyDescent="0.25">
      <c r="B90" s="182" t="str">
        <v>EJ876283 Corp</v>
      </c>
      <c r="C90" s="150" t="str" cm="1">
        <f t="array" ref="C90">IF(B90="","",_xll.BDP($B90,C$8,"fill=b"))</f>
        <v>CCROBZ 4.88 10/15/18</v>
      </c>
      <c r="D90" s="150" t="str" cm="1">
        <f t="array" ref="D90">IF(B90="","",_xll.BDP($B90,D$8,"fill=b"))</f>
        <v>SISTEMA ANHANGUERA BAND</v>
      </c>
      <c r="E90" s="150" t="str" cm="1">
        <f t="array" ref="E90">IF(C90="","",_xll.BDP($B90,E$8,"fill=b"))</f>
        <v/>
      </c>
      <c r="F90" s="150" t="str" cm="1">
        <f t="array" ref="F90">IF(B90="","",_xll.BDP($B90,F$8,"fill=b"))</f>
        <v>WR</v>
      </c>
      <c r="G90" s="150" t="str" cm="1">
        <f t="array" ref="G90">IF(B90="","",_xll.BDP($B90,G$8,"fill=b"))</f>
        <v/>
      </c>
      <c r="H90" s="150" t="str" cm="1">
        <f t="array" ref="H90">IF(B90="","",IF(LEFT(_xlfn.SINGLE(_xll.BDP($B90,H$8,"fill=b")),1)="#","-",_xll.BDP($B90,H$8,"fill=b")))</f>
        <v>MOTV3 BZ</v>
      </c>
      <c r="I90" s="150" t="str" cm="1">
        <f t="array" ref="I90">IF(OR(B90="",TRIM(H90)="-"),"",_xll.BDP(H90&amp;" Equity",I$8,"fill=b"))</f>
        <v>MOTIVA INFRAESTRUTURA DE MOB</v>
      </c>
      <c r="J90" s="150" t="str" cm="1">
        <f t="array" ref="J90">IF(OR($B90="",$H90="-"),"",_xll.BDP($H90&amp;" Equity",J$8,"fill=b"))</f>
        <v/>
      </c>
      <c r="K90" s="150" t="str" cm="1">
        <f t="array" ref="K90">IF(OR($B90="",$H90="-"),"",_xll.BDP($H90&amp;" Equity",K$8,"fill=b"))</f>
        <v/>
      </c>
      <c r="L90" s="258" t="str" cm="1">
        <f t="array" ref="L90">IF(OR($B90="",$H90="-"),"",_xll.BDP($H90&amp;" Equity",L$8,"fill=b"))</f>
        <v/>
      </c>
    </row>
    <row r="91" spans="2:12" x14ac:dyDescent="0.25">
      <c r="B91" s="182" t="str">
        <v>EJ896299 Corp</v>
      </c>
      <c r="C91" s="150" t="str" cm="1">
        <f t="array" ref="C91">IF(B91="","",_xll.BDP($B91,C$8,"fill=b"))</f>
        <v>NBTEBZ 7.15 09/15/26</v>
      </c>
      <c r="D91" s="150" t="str" cm="1">
        <f t="array" ref="D91">IF(B91="","",_xll.BDP($B91,D$8,"fill=b"))</f>
        <v>NORTE BRASIL TRANSMISSOR</v>
      </c>
      <c r="E91" s="150" t="str" cm="1">
        <f t="array" ref="E91">IF(C91="","",_xll.BDP($B91,E$8,"fill=b"))</f>
        <v/>
      </c>
      <c r="F91" s="150" t="str" cm="1">
        <f t="array" ref="F91">IF(B91="","",_xll.BDP($B91,F$8,"fill=b"))</f>
        <v/>
      </c>
      <c r="G91" s="150" t="str" cm="1">
        <f t="array" ref="G91">IF(B91="","",_xll.BDP($B91,G$8,"fill=b"))</f>
        <v/>
      </c>
      <c r="H91" s="150" t="str" cm="1">
        <f t="array" ref="H91">IF(B91="","",IF(LEFT(_xlfn.SINGLE(_xll.BDP($B91,H$8,"fill=b")),1)="#","-",_xll.BDP($B91,H$8,"fill=b")))</f>
        <v>1885Z CN</v>
      </c>
      <c r="I91" s="150" t="str" cm="1">
        <f t="array" ref="I91">IF(OR(B91="",TRIM(H91)="-"),"",_xll.BDP(H91&amp;" Equity",I$8,"fill=b"))</f>
        <v>ONTARIO TEACHERS' PENSION PL</v>
      </c>
      <c r="J91" s="150" t="str" cm="1">
        <f t="array" ref="J91">IF(OR($B91="",$H91="-"),"",_xll.BDP($H91&amp;" Equity",J$8,"fill=b"))</f>
        <v>Aa1</v>
      </c>
      <c r="K91" s="150" t="str" cm="1">
        <f t="array" ref="K91">IF(OR($B91="",$H91="-"),"",_xll.BDP($H91&amp;" Equity",K$8,"fill=b"))</f>
        <v>AAA</v>
      </c>
      <c r="L91" s="258" t="str" cm="1">
        <f t="array" ref="L91">IF(OR($B91="",$H91="-"),"",_xll.BDP($H91&amp;" Equity",L$8,"fill=b"))</f>
        <v/>
      </c>
    </row>
    <row r="92" spans="2:12" x14ac:dyDescent="0.25">
      <c r="B92" s="182" t="str">
        <v>EJ905467 Corp</v>
      </c>
      <c r="C92" s="150" t="str" cm="1">
        <f t="array" ref="C92">IF(B92="","",_xll.BDP($B92,C$8,"fill=b"))</f>
        <v>RAIZBZ Float 10/15/18</v>
      </c>
      <c r="D92" s="150" t="str" cm="1">
        <f t="array" ref="D92">IF(B92="","",_xll.BDP($B92,D$8,"fill=b"))</f>
        <v>RAIZEN ENERGIA SA</v>
      </c>
      <c r="E92" s="150" t="str" cm="1">
        <f t="array" ref="E92">IF(C92="","",_xll.BDP($B92,E$8,"fill=b"))</f>
        <v/>
      </c>
      <c r="F92" s="150" t="str" cm="1">
        <f t="array" ref="F92">IF(B92="","",_xll.BDP($B92,F$8,"fill=b"))</f>
        <v/>
      </c>
      <c r="G92" s="150" t="str" cm="1">
        <f t="array" ref="G92">IF(B92="","",_xll.BDP($B92,G$8,"fill=b"))</f>
        <v/>
      </c>
      <c r="H92" s="150" t="str" cm="1">
        <f t="array" ref="H92">IF(B92="","",IF(LEFT(_xlfn.SINGLE(_xll.BDP($B92,H$8,"fill=b")),1)="#","-",_xll.BDP($B92,H$8,"fill=b")))</f>
        <v>RAIZ4 BZ</v>
      </c>
      <c r="I92" s="150" t="str" cm="1">
        <f t="array" ref="I92">IF(OR(B92="",TRIM(H92)="-"),"",_xll.BDP(H92&amp;" Equity",I$8,"fill=b"))</f>
        <v>RAIZEN SA - PREFERENCE</v>
      </c>
      <c r="J92" s="150" t="str" cm="1">
        <f t="array" ref="J92">IF(OR($B92="",$H92="-"),"",_xll.BDP($H92&amp;" Equity",J$8,"fill=b"))</f>
        <v>Baa3</v>
      </c>
      <c r="K92" s="150" t="str" cm="1">
        <f t="array" ref="K92">IF(OR($B92="",$H92="-"),"",_xll.BDP($H92&amp;" Equity",K$8,"fill=b"))</f>
        <v>BBB</v>
      </c>
      <c r="L92" s="258" t="str" cm="1">
        <f t="array" ref="L92">IF(OR($B92="",$H92="-"),"",_xll.BDP($H92&amp;" Equity",L$8,"fill=b"))</f>
        <v>BBB</v>
      </c>
    </row>
    <row r="93" spans="2:12" x14ac:dyDescent="0.25">
      <c r="B93" s="182" t="str">
        <v>EJ905503 Corp</v>
      </c>
      <c r="C93" s="150" t="str" cm="1">
        <f t="array" ref="C93">IF(B93="","",_xll.BDP($B93,C$8,"fill=b"))</f>
        <v>RAIZBZ 6.38 10/15/20</v>
      </c>
      <c r="D93" s="150" t="str" cm="1">
        <f t="array" ref="D93">IF(B93="","",_xll.BDP($B93,D$8,"fill=b"))</f>
        <v>RAIZEN ENERGIA SA</v>
      </c>
      <c r="E93" s="150" t="str" cm="1">
        <f t="array" ref="E93">IF(C93="","",_xll.BDP($B93,E$8,"fill=b"))</f>
        <v/>
      </c>
      <c r="F93" s="150" t="str" cm="1">
        <f t="array" ref="F93">IF(B93="","",_xll.BDP($B93,F$8,"fill=b"))</f>
        <v/>
      </c>
      <c r="G93" s="150" t="str" cm="1">
        <f t="array" ref="G93">IF(B93="","",_xll.BDP($B93,G$8,"fill=b"))</f>
        <v/>
      </c>
      <c r="H93" s="150" t="str" cm="1">
        <f t="array" ref="H93">IF(B93="","",IF(LEFT(_xlfn.SINGLE(_xll.BDP($B93,H$8,"fill=b")),1)="#","-",_xll.BDP($B93,H$8,"fill=b")))</f>
        <v>RAIZ4 BZ</v>
      </c>
      <c r="I93" s="150" t="str" cm="1">
        <f t="array" ref="I93">IF(OR(B93="",TRIM(H93)="-"),"",_xll.BDP(H93&amp;" Equity",I$8,"fill=b"))</f>
        <v>RAIZEN SA - PREFERENCE</v>
      </c>
      <c r="J93" s="150" t="str" cm="1">
        <f t="array" ref="J93">IF(OR($B93="",$H93="-"),"",_xll.BDP($H93&amp;" Equity",J$8,"fill=b"))</f>
        <v>Baa3</v>
      </c>
      <c r="K93" s="150" t="str" cm="1">
        <f t="array" ref="K93">IF(OR($B93="",$H93="-"),"",_xll.BDP($H93&amp;" Equity",K$8,"fill=b"))</f>
        <v>BBB</v>
      </c>
      <c r="L93" s="258" t="str" cm="1">
        <f t="array" ref="L93">IF(OR($B93="",$H93="-"),"",_xll.BDP($H93&amp;" Equity",L$8,"fill=b"))</f>
        <v>BBB</v>
      </c>
    </row>
    <row r="94" spans="2:12" x14ac:dyDescent="0.25">
      <c r="B94" s="182" t="str">
        <v>EJ945923 Corp</v>
      </c>
      <c r="C94" s="150" t="str" cm="1">
        <f t="array" ref="C94">IF(B94="","",_xll.BDP($B94,C$8,"fill=b"))</f>
        <v>CRDBBR 6.7 10/15/25</v>
      </c>
      <c r="D94" s="150" t="str" cm="1">
        <f t="array" ref="D94">IF(B94="","",_xll.BDP($B94,D$8,"fill=b"))</f>
        <v>ROTA DAS BANDEIRAS</v>
      </c>
      <c r="E94" s="150" t="str" cm="1">
        <f t="array" ref="E94">IF(C94="","",_xll.BDP($B94,E$8,"fill=b"))</f>
        <v/>
      </c>
      <c r="F94" s="150" t="str" cm="1">
        <f t="array" ref="F94">IF(B94="","",_xll.BDP($B94,F$8,"fill=b"))</f>
        <v/>
      </c>
      <c r="G94" s="150" t="str" cm="1">
        <f t="array" ref="G94">IF(B94="","",_xll.BDP($B94,G$8,"fill=b"))</f>
        <v/>
      </c>
      <c r="H94" s="150" t="str" cm="1">
        <f t="array" ref="H94">IF(B94="","",IF(LEFT(_xlfn.SINGLE(_xll.BDP($B94,H$8,"fill=b")),1)="#","-",_xll.BDP($B94,H$8,"fill=b")))</f>
        <v>1786102D BZ</v>
      </c>
      <c r="I94" s="150" t="str" cm="1">
        <f t="array" ref="I94">IF(OR(B94="",TRIM(H94)="-"),"",_xll.BDP(H94&amp;" Equity",I$8,"fill=b"))</f>
        <v>SCP 1355 FUNDO DE INVESTIMEN</v>
      </c>
      <c r="J94" s="150" t="str" cm="1">
        <f t="array" ref="J94">IF(OR($B94="",$H94="-"),"",_xll.BDP($H94&amp;" Equity",J$8,"fill=b"))</f>
        <v/>
      </c>
      <c r="K94" s="150" t="str" cm="1">
        <f t="array" ref="K94">IF(OR($B94="",$H94="-"),"",_xll.BDP($H94&amp;" Equity",K$8,"fill=b"))</f>
        <v/>
      </c>
      <c r="L94" s="258" t="str" cm="1">
        <f t="array" ref="L94">IF(OR($B94="",$H94="-"),"",_xll.BDP($H94&amp;" Equity",L$8,"fill=b"))</f>
        <v/>
      </c>
    </row>
    <row r="95" spans="2:12" x14ac:dyDescent="0.25">
      <c r="B95" s="182" t="str">
        <v>EJ947490 Corp</v>
      </c>
      <c r="C95" s="150" t="str" cm="1">
        <f t="array" ref="C95">IF(B95="","",_xll.BDP($B95,C$8,"fill=b"))</f>
        <v>TERPBZ 9.11 11/15/25</v>
      </c>
      <c r="D95" s="150" t="str" cm="1">
        <f t="array" ref="D95">IF(B95="","",_xll.BDP($B95,D$8,"fill=b"))</f>
        <v>TERMELETRICA PERNAMBUCO</v>
      </c>
      <c r="E95" s="150" t="str" cm="1">
        <f t="array" ref="E95">IF(C95="","",_xll.BDP($B95,E$8,"fill=b"))</f>
        <v/>
      </c>
      <c r="F95" s="150" t="str" cm="1">
        <f t="array" ref="F95">IF(B95="","",_xll.BDP($B95,F$8,"fill=b"))</f>
        <v/>
      </c>
      <c r="G95" s="150" t="str" cm="1">
        <f t="array" ref="G95">IF(B95="","",_xll.BDP($B95,G$8,"fill=b"))</f>
        <v/>
      </c>
      <c r="H95" s="150" t="str" cm="1">
        <f t="array" ref="H95">IF(B95="","",IF(LEFT(_xlfn.SINGLE(_xll.BDP($B95,H$8,"fill=b")),1)="#","-",_xll.BDP($B95,H$8,"fill=b")))</f>
        <v>0237680D BZ</v>
      </c>
      <c r="I95" s="150" t="str">
        <f>IF(OR(B95="",TRIM(H95)="-"),"",_xll.BDP(H95&amp;" Equity",I$8,"fill=b"))</f>
        <v>BOLOGNESI PARTICIPACOES SA</v>
      </c>
      <c r="J95" s="150" t="str">
        <f>IF(OR($B95="",$H95="-"),"",_xll.BDP($H95&amp;" Equity",J$8,"fill=b"))</f>
        <v/>
      </c>
      <c r="K95" s="150" t="str">
        <f>IF(OR($B95="",$H95="-"),"",_xll.BDP($H95&amp;" Equity",K$8,"fill=b"))</f>
        <v/>
      </c>
      <c r="L95" s="258" t="str">
        <f>IF(OR($B95="",$H95="-"),"",_xll.BDP($H95&amp;" Equity",L$8,"fill=b"))</f>
        <v/>
      </c>
    </row>
    <row r="96" spans="2:12" x14ac:dyDescent="0.25">
      <c r="B96" s="182" t="str">
        <v>EJ947496 Corp</v>
      </c>
      <c r="C96" s="150" t="str" cm="1">
        <f t="array" ref="C96">IF(B96="","",_xll.BDP($B96,C$8,"fill=b"))</f>
        <v>TERPBZ 9.11 02/15/25</v>
      </c>
      <c r="D96" s="150" t="str" cm="1">
        <f t="array" ref="D96">IF(B96="","",_xll.BDP($B96,D$8,"fill=b"))</f>
        <v>TERMELETRICA PERNAMBUCO</v>
      </c>
      <c r="E96" s="150" t="str" cm="1">
        <f t="array" ref="E96">IF(C96="","",_xll.BDP($B96,E$8,"fill=b"))</f>
        <v/>
      </c>
      <c r="F96" s="150" t="str" cm="1">
        <f t="array" ref="F96">IF(B96="","",_xll.BDP($B96,F$8,"fill=b"))</f>
        <v/>
      </c>
      <c r="G96" s="150" t="str" cm="1">
        <f t="array" ref="G96">IF(B96="","",_xll.BDP($B96,G$8,"fill=b"))</f>
        <v/>
      </c>
      <c r="H96" s="150" t="str" cm="1">
        <f t="array" ref="H96">IF(B96="","",IF(LEFT(_xlfn.SINGLE(_xll.BDP($B96,H$8,"fill=b")),1)="#","-",_xll.BDP($B96,H$8,"fill=b")))</f>
        <v>0237680D BZ</v>
      </c>
      <c r="I96" s="150" t="str" cm="1">
        <f t="array" ref="I96">IF(OR(B96="",TRIM(H96)="-"),"",_xll.BDP(H96&amp;" Equity",I$8,"fill=b"))</f>
        <v>BOLOGNESI PARTICIPACOES SA</v>
      </c>
      <c r="J96" s="150" t="str" cm="1">
        <f t="array" ref="J96">IF(OR($B96="",$H96="-"),"",_xll.BDP($H96&amp;" Equity",J$8,"fill=b"))</f>
        <v/>
      </c>
      <c r="K96" s="150" t="str" cm="1">
        <f t="array" ref="K96">IF(OR($B96="",$H96="-"),"",_xll.BDP($H96&amp;" Equity",K$8,"fill=b"))</f>
        <v/>
      </c>
      <c r="L96" s="258" t="str" cm="1">
        <f t="array" ref="L96">IF(OR($B96="",$H96="-"),"",_xll.BDP($H96&amp;" Equity",L$8,"fill=b"))</f>
        <v/>
      </c>
    </row>
    <row r="97" spans="2:12" x14ac:dyDescent="0.25">
      <c r="B97" s="182" t="str">
        <v>EJ947502 Corp</v>
      </c>
      <c r="C97" s="150" t="str" cm="1">
        <f t="array" ref="C97">IF(B97="","",_xll.BDP($B97,C$8,"fill=b"))</f>
        <v>TERPBZ 9.11 05/15/25</v>
      </c>
      <c r="D97" s="150" t="str" cm="1">
        <f t="array" ref="D97">IF(B97="","",_xll.BDP($B97,D$8,"fill=b"))</f>
        <v>TERMELETRICA PERNAMBUCO</v>
      </c>
      <c r="E97" s="150" t="str" cm="1">
        <f t="array" ref="E97">IF(C97="","",_xll.BDP($B97,E$8,"fill=b"))</f>
        <v/>
      </c>
      <c r="F97" s="150" t="str" cm="1">
        <f t="array" ref="F97">IF(B97="","",_xll.BDP($B97,F$8,"fill=b"))</f>
        <v/>
      </c>
      <c r="G97" s="150" t="str" cm="1">
        <f t="array" ref="G97">IF(B97="","",_xll.BDP($B97,G$8,"fill=b"))</f>
        <v/>
      </c>
      <c r="H97" s="150" t="str" cm="1">
        <f t="array" ref="H97">IF(B97="","",IF(LEFT(_xlfn.SINGLE(_xll.BDP($B97,H$8,"fill=b")),1)="#","-",_xll.BDP($B97,H$8,"fill=b")))</f>
        <v>0237680D BZ</v>
      </c>
      <c r="I97" s="150" t="str" cm="1">
        <f t="array" ref="I97">IF(OR(B97="",TRIM(H97)="-"),"",_xll.BDP(H97&amp;" Equity",I$8,"fill=b"))</f>
        <v>BOLOGNESI PARTICIPACOES SA</v>
      </c>
      <c r="J97" s="150" t="str" cm="1">
        <f t="array" ref="J97">IF(OR($B97="",$H97="-"),"",_xll.BDP($H97&amp;" Equity",J$8,"fill=b"))</f>
        <v/>
      </c>
      <c r="K97" s="150" t="str" cm="1">
        <f t="array" ref="K97">IF(OR($B97="",$H97="-"),"",_xll.BDP($H97&amp;" Equity",K$8,"fill=b"))</f>
        <v/>
      </c>
      <c r="L97" s="258" t="str" cm="1">
        <f t="array" ref="L97">IF(OR($B97="",$H97="-"),"",_xll.BDP($H97&amp;" Equity",L$8,"fill=b"))</f>
        <v/>
      </c>
    </row>
    <row r="98" spans="2:12" x14ac:dyDescent="0.25">
      <c r="B98" s="182" t="str">
        <v>EJ947514 Corp</v>
      </c>
      <c r="C98" s="150" t="str" cm="1">
        <f t="array" ref="C98">IF(B98="","",_xll.BDP($B98,C$8,"fill=b"))</f>
        <v>TERPBZ 9.11 08/15/25</v>
      </c>
      <c r="D98" s="150" t="str" cm="1">
        <f t="array" ref="D98">IF(B98="","",_xll.BDP($B98,D$8,"fill=b"))</f>
        <v>TERMELETRICA PERNAMBUCO</v>
      </c>
      <c r="E98" s="150" t="str" cm="1">
        <f t="array" ref="E98">IF(C98="","",_xll.BDP($B98,E$8,"fill=b"))</f>
        <v/>
      </c>
      <c r="F98" s="150" t="str" cm="1">
        <f t="array" ref="F98">IF(B98="","",_xll.BDP($B98,F$8,"fill=b"))</f>
        <v/>
      </c>
      <c r="G98" s="150" t="str" cm="1">
        <f t="array" ref="G98">IF(B98="","",_xll.BDP($B98,G$8,"fill=b"))</f>
        <v/>
      </c>
      <c r="H98" s="150" t="str" cm="1">
        <f t="array" ref="H98">IF(B98="","",IF(LEFT(_xlfn.SINGLE(_xll.BDP($B98,H$8,"fill=b")),1)="#","-",_xll.BDP($B98,H$8,"fill=b")))</f>
        <v>0237680D BZ</v>
      </c>
      <c r="I98" s="150" t="str" cm="1">
        <f t="array" ref="I98">IF(OR(B98="",TRIM(H98)="-"),"",_xll.BDP(H98&amp;" Equity",I$8,"fill=b"))</f>
        <v>BOLOGNESI PARTICIPACOES SA</v>
      </c>
      <c r="J98" s="150" t="str" cm="1">
        <f t="array" ref="J98">IF(OR($B98="",$H98="-"),"",_xll.BDP($H98&amp;" Equity",J$8,"fill=b"))</f>
        <v/>
      </c>
      <c r="K98" s="150" t="str" cm="1">
        <f t="array" ref="K98">IF(OR($B98="",$H98="-"),"",_xll.BDP($H98&amp;" Equity",K$8,"fill=b"))</f>
        <v/>
      </c>
      <c r="L98" s="258" t="str" cm="1">
        <f t="array" ref="L98">IF(OR($B98="",$H98="-"),"",_xll.BDP($H98&amp;" Equity",L$8,"fill=b"))</f>
        <v/>
      </c>
    </row>
    <row r="99" spans="2:12" x14ac:dyDescent="0.25">
      <c r="B99" s="182" t="str">
        <v>EK001691 Corp</v>
      </c>
      <c r="C99" s="150" t="str" cm="1">
        <f t="array" ref="C99">IF(B99="","",_xll.BDP($B99,C$8,"fill=b"))</f>
        <v>OBLSBZ Float 03/15/18</v>
      </c>
      <c r="D99" s="150" t="str" cm="1">
        <f t="array" ref="D99">IF(B99="","",_xll.BDP($B99,D$8,"fill=b"))</f>
        <v>OURO VERDE TRANSP LOCA</v>
      </c>
      <c r="E99" s="150" t="str" cm="1">
        <f t="array" ref="E99">IF(C99="","",_xll.BDP($B99,E$8,"fill=b"))</f>
        <v/>
      </c>
      <c r="F99" s="150" t="str" cm="1">
        <f t="array" ref="F99">IF(B99="","",_xll.BDP($B99,F$8,"fill=b"))</f>
        <v/>
      </c>
      <c r="G99" s="150" t="str" cm="1">
        <f t="array" ref="G99">IF(B99="","",_xll.BDP($B99,G$8,"fill=b"))</f>
        <v/>
      </c>
      <c r="H99" s="150" t="str" cm="1">
        <f t="array" ref="H99">IF(B99="","",IF(LEFT(_xlfn.SINGLE(_xll.BDP($B99,H$8,"fill=b")),1)="#","-",_xll.BDP($B99,H$8,"fill=b")))</f>
        <v>BN CN</v>
      </c>
      <c r="I99" s="150" t="str" cm="1">
        <f t="array" ref="I99">IF(OR(B99="",TRIM(H99)="-"),"",_xll.BDP(H99&amp;" Equity",I$8,"fill=b"))</f>
        <v>BROOKFIELD CORP</v>
      </c>
      <c r="J99" s="150" t="str" cm="1">
        <f t="array" ref="J99">IF(OR($B99="",$H99="-"),"",_xll.BDP($H99&amp;" Equity",J$8,"fill=b"))</f>
        <v>A3</v>
      </c>
      <c r="K99" s="150" t="str" cm="1">
        <f t="array" ref="K99">IF(OR($B99="",$H99="-"),"",_xll.BDP($H99&amp;" Equity",K$8,"fill=b"))</f>
        <v>A-</v>
      </c>
      <c r="L99" s="258" t="str" cm="1">
        <f t="array" ref="L99">IF(OR($B99="",$H99="-"),"",_xll.BDP($H99&amp;" Equity",L$8,"fill=b"))</f>
        <v/>
      </c>
    </row>
    <row r="100" spans="2:12" x14ac:dyDescent="0.25">
      <c r="B100" s="182" t="str">
        <v>EK004065 Corp</v>
      </c>
      <c r="C100" s="150" t="str" cm="1">
        <f t="array" ref="C100">IF(B100="","",_xll.BDP($B100,C$8,"fill=b"))</f>
        <v>OHLBZ Float 08/20/17</v>
      </c>
      <c r="D100" s="150" t="str" cm="1">
        <f t="array" ref="D100">IF(B100="","",_xll.BDP($B100,D$8,"fill=b"))</f>
        <v>AUTOVIAS SA</v>
      </c>
      <c r="E100" s="150" t="str" cm="1">
        <f t="array" ref="E100">IF(C100="","",_xll.BDP($B100,E$8,"fill=b"))</f>
        <v/>
      </c>
      <c r="F100" s="150" t="str" cm="1">
        <f t="array" ref="F100">IF(B100="","",_xll.BDP($B100,F$8,"fill=b"))</f>
        <v>WR</v>
      </c>
      <c r="G100" s="150" t="str" cm="1">
        <f t="array" ref="G100">IF(B100="","",_xll.BDP($B100,G$8,"fill=b"))</f>
        <v/>
      </c>
      <c r="H100" s="150" t="str" cm="1">
        <f t="array" ref="H100">IF(B100="","",IF(LEFT(_xlfn.SINGLE(_xll.BDP($B100,H$8,"fill=b")),1)="#","-",_xll.BDP($B100,H$8,"fill=b")))</f>
        <v>3284233Z IM</v>
      </c>
      <c r="I100" s="150" t="str" cm="1">
        <f t="array" ref="I100">IF(OR(B100="",TRIM(H100)="-"),"",_xll.BDP(H100&amp;" Equity",I$8,"fill=b"))</f>
        <v>EDIZIONE SPA</v>
      </c>
      <c r="J100" s="150" t="str" cm="1">
        <f t="array" ref="J100">IF(OR($B100="",$H100="-"),"",_xll.BDP($H100&amp;" Equity",J$8,"fill=b"))</f>
        <v/>
      </c>
      <c r="K100" s="150" t="str" cm="1">
        <f t="array" ref="K100">IF(OR($B100="",$H100="-"),"",_xll.BDP($H100&amp;" Equity",K$8,"fill=b"))</f>
        <v/>
      </c>
      <c r="L100" s="258" t="str" cm="1">
        <f t="array" ref="L100">IF(OR($B100="",$H100="-"),"",_xll.BDP($H100&amp;" Equity",L$8,"fill=b"))</f>
        <v/>
      </c>
    </row>
    <row r="101" spans="2:12" x14ac:dyDescent="0.25">
      <c r="B101" s="182" t="str">
        <v>EK055372 Corp</v>
      </c>
      <c r="C101" s="150" t="str" cm="1">
        <f t="array" ref="C101">IF(B101="","",_xll.BDP($B101,C$8,"fill=b"))</f>
        <v>VALEBZ 6.46 01/15/21</v>
      </c>
      <c r="D101" s="150" t="str" cm="1">
        <f t="array" ref="D101">IF(B101="","",_xll.BDP($B101,D$8,"fill=b"))</f>
        <v>VALE SA</v>
      </c>
      <c r="E101" s="150" t="str" cm="1">
        <f t="array" ref="E101">IF(C101="","",_xll.BDP($B101,E$8,"fill=b"))</f>
        <v/>
      </c>
      <c r="F101" s="150" t="str" cm="1">
        <f t="array" ref="F101">IF(B101="","",_xll.BDP($B101,F$8,"fill=b"))</f>
        <v>WR</v>
      </c>
      <c r="G101" s="150" t="str" cm="1">
        <f t="array" ref="G101">IF(B101="","",_xll.BDP($B101,G$8,"fill=b"))</f>
        <v/>
      </c>
      <c r="H101" s="150" t="str" cm="1">
        <f t="array" ref="H101">IF(B101="","",IF(LEFT(_xlfn.SINGLE(_xll.BDP($B101,H$8,"fill=b")),1)="#","-",_xll.BDP($B101,H$8,"fill=b")))</f>
        <v>VALE3 BZ</v>
      </c>
      <c r="I101" s="150" t="str" cm="1">
        <f t="array" ref="I101">IF(OR(B101="",TRIM(H101)="-"),"",_xll.BDP(H101&amp;" Equity",I$8,"fill=b"))</f>
        <v>VALE SA</v>
      </c>
      <c r="J101" s="150" t="str" cm="1">
        <f t="array" ref="J101">IF(OR($B101="",$H101="-"),"",_xll.BDP($H101&amp;" Equity",J$8,"fill=b"))</f>
        <v>Baa2</v>
      </c>
      <c r="K101" s="150" t="str" cm="1">
        <f t="array" ref="K101">IF(OR($B101="",$H101="-"),"",_xll.BDP($H101&amp;" Equity",K$8,"fill=b"))</f>
        <v>BBB-</v>
      </c>
      <c r="L101" s="258" t="str" cm="1">
        <f t="array" ref="L101">IF(OR($B101="",$H101="-"),"",_xll.BDP($H101&amp;" Equity",L$8,"fill=b"))</f>
        <v>BBB</v>
      </c>
    </row>
    <row r="102" spans="2:12" x14ac:dyDescent="0.25">
      <c r="B102" s="182" t="str">
        <v>EK055396 Corp</v>
      </c>
      <c r="C102" s="150" t="str" cm="1">
        <f t="array" ref="C102">IF(B102="","",_xll.BDP($B102,C$8,"fill=b"))</f>
        <v>VALEBZ 6.57 01/15/24</v>
      </c>
      <c r="D102" s="150" t="str" cm="1">
        <f t="array" ref="D102">IF(B102="","",_xll.BDP($B102,D$8,"fill=b"))</f>
        <v>VALE SA</v>
      </c>
      <c r="E102" s="150" t="str" cm="1">
        <f t="array" ref="E102">IF(C102="","",_xll.BDP($B102,E$8,"fill=b"))</f>
        <v/>
      </c>
      <c r="F102" s="150" t="str" cm="1">
        <f t="array" ref="F102">IF(B102="","",_xll.BDP($B102,F$8,"fill=b"))</f>
        <v>WR</v>
      </c>
      <c r="G102" s="150" t="str" cm="1">
        <f t="array" ref="G102">IF(B102="","",_xll.BDP($B102,G$8,"fill=b"))</f>
        <v/>
      </c>
      <c r="H102" s="150" t="str" cm="1">
        <f t="array" ref="H102">IF(B102="","",IF(LEFT(_xlfn.SINGLE(_xll.BDP($B102,H$8,"fill=b")),1)="#","-",_xll.BDP($B102,H$8,"fill=b")))</f>
        <v>VALE3 BZ</v>
      </c>
      <c r="I102" s="150" t="str" cm="1">
        <f t="array" ref="I102">IF(OR(B102="",TRIM(H102)="-"),"",_xll.BDP(H102&amp;" Equity",I$8,"fill=b"))</f>
        <v>VALE SA</v>
      </c>
      <c r="J102" s="150" t="str" cm="1">
        <f t="array" ref="J102">IF(OR($B102="",$H102="-"),"",_xll.BDP($H102&amp;" Equity",J$8,"fill=b"))</f>
        <v>Baa2</v>
      </c>
      <c r="K102" s="150" t="str" cm="1">
        <f t="array" ref="K102">IF(OR($B102="",$H102="-"),"",_xll.BDP($H102&amp;" Equity",K$8,"fill=b"))</f>
        <v>BBB-</v>
      </c>
      <c r="L102" s="258" t="str" cm="1">
        <f t="array" ref="L102">IF(OR($B102="",$H102="-"),"",_xll.BDP($H102&amp;" Equity",L$8,"fill=b"))</f>
        <v>BBB</v>
      </c>
    </row>
    <row r="103" spans="2:12" x14ac:dyDescent="0.25">
      <c r="B103" s="182" t="str">
        <v>EK055420 Corp</v>
      </c>
      <c r="C103" s="150" t="str" cm="1">
        <f t="array" ref="C103">IF(B103="","",_xll.BDP($B103,C$8,"fill=b"))</f>
        <v>VALEBZ 6.78 01/15/29</v>
      </c>
      <c r="D103" s="150" t="str" cm="1">
        <f t="array" ref="D103">IF(B103="","",_xll.BDP($B103,D$8,"fill=b"))</f>
        <v>VALE SA</v>
      </c>
      <c r="E103" s="150" t="str" cm="1">
        <f t="array" ref="E103">IF(C103="","",_xll.BDP($B103,E$8,"fill=b"))</f>
        <v/>
      </c>
      <c r="F103" s="150" t="str" cm="1">
        <f t="array" ref="F103">IF(B103="","",_xll.BDP($B103,F$8,"fill=b"))</f>
        <v>WR</v>
      </c>
      <c r="G103" s="150" t="str" cm="1">
        <f t="array" ref="G103">IF(B103="","",_xll.BDP($B103,G$8,"fill=b"))</f>
        <v/>
      </c>
      <c r="H103" s="150" t="str" cm="1">
        <f t="array" ref="H103">IF(B103="","",IF(LEFT(_xlfn.SINGLE(_xll.BDP($B103,H$8,"fill=b")),1)="#","-",_xll.BDP($B103,H$8,"fill=b")))</f>
        <v>VALE3 BZ</v>
      </c>
      <c r="I103" s="150" t="str" cm="1">
        <f t="array" ref="I103">IF(OR(B103="",TRIM(H103)="-"),"",_xll.BDP(H103&amp;" Equity",I$8,"fill=b"))</f>
        <v>VALE SA</v>
      </c>
      <c r="J103" s="150" t="str" cm="1">
        <f t="array" ref="J103">IF(OR($B103="",$H103="-"),"",_xll.BDP($H103&amp;" Equity",J$8,"fill=b"))</f>
        <v>Baa2</v>
      </c>
      <c r="K103" s="150" t="str" cm="1">
        <f t="array" ref="K103">IF(OR($B103="",$H103="-"),"",_xll.BDP($H103&amp;" Equity",K$8,"fill=b"))</f>
        <v>BBB-</v>
      </c>
      <c r="L103" s="258" t="str" cm="1">
        <f t="array" ref="L103">IF(OR($B103="",$H103="-"),"",_xll.BDP($H103&amp;" Equity",L$8,"fill=b"))</f>
        <v>BBB</v>
      </c>
    </row>
    <row r="104" spans="2:12" x14ac:dyDescent="0.25">
      <c r="B104" s="182" t="str">
        <v>EK064417 Corp</v>
      </c>
      <c r="C104" s="150" t="str" cm="1">
        <f t="array" ref="C104">IF(B104="","",_xll.BDP($B104,C$8,"fill=b"))</f>
        <v>SAENER 7.0537 04/15/22</v>
      </c>
      <c r="D104" s="150" t="str" cm="1">
        <f t="array" ref="D104">IF(B104="","",_xll.BDP($B104,D$8,"fill=b"))</f>
        <v>SANTO ANTONIO ENERGIA</v>
      </c>
      <c r="E104" s="150" t="str" cm="1">
        <f t="array" ref="E104">IF(C104="","",_xll.BDP($B104,E$8,"fill=b"))</f>
        <v/>
      </c>
      <c r="F104" s="150" t="str" cm="1">
        <f t="array" ref="F104">IF(B104="","",_xll.BDP($B104,F$8,"fill=b"))</f>
        <v/>
      </c>
      <c r="G104" s="150" t="str" cm="1">
        <f t="array" ref="G104">IF(B104="","",_xll.BDP($B104,G$8,"fill=b"))</f>
        <v/>
      </c>
      <c r="H104" s="150" t="str" cm="1">
        <f t="array" ref="H104">IF(B104="","",IF(LEFT(_xlfn.SINGLE(_xll.BDP($B104,H$8,"fill=b")),1)="#","-",_xll.BDP($B104,H$8,"fill=b")))</f>
        <v>ELET3 BZ</v>
      </c>
      <c r="I104" s="150" t="str" cm="1">
        <f t="array" ref="I104">IF(OR(B104="",TRIM(H104)="-"),"",_xll.BDP(H104&amp;" Equity",I$8,"fill=b"))</f>
        <v>CENTRAIS ELETRICAS BRASILIER</v>
      </c>
      <c r="J104" s="150" t="str" cm="1">
        <f t="array" ref="J104">IF(OR($B104="",$H104="-"),"",_xll.BDP($H104&amp;" Equity",J$8,"fill=b"))</f>
        <v>Ba1</v>
      </c>
      <c r="K104" s="150" t="str" cm="1">
        <f t="array" ref="K104">IF(OR($B104="",$H104="-"),"",_xll.BDP($H104&amp;" Equity",K$8,"fill=b"))</f>
        <v>BB</v>
      </c>
      <c r="L104" s="258" t="str" cm="1">
        <f t="array" ref="L104">IF(OR($B104="",$H104="-"),"",_xll.BDP($H104&amp;" Equity",L$8,"fill=b"))</f>
        <v>BB-</v>
      </c>
    </row>
    <row r="105" spans="2:12" x14ac:dyDescent="0.25">
      <c r="B105" s="182" t="str">
        <v>EK070894 Corp</v>
      </c>
      <c r="C105" s="150" t="str" cm="1">
        <f t="array" ref="C105">IF(B105="","",_xll.BDP($B105,C$8,"fill=b"))</f>
        <v>VALEBZ 6.71 01/15/26</v>
      </c>
      <c r="D105" s="150" t="str" cm="1">
        <f t="array" ref="D105">IF(B105="","",_xll.BDP($B105,D$8,"fill=b"))</f>
        <v>VALE SA</v>
      </c>
      <c r="E105" s="150" t="str" cm="1">
        <f t="array" ref="E105">IF(C105="","",_xll.BDP($B105,E$8,"fill=b"))</f>
        <v/>
      </c>
      <c r="F105" s="150" t="str" cm="1">
        <f t="array" ref="F105">IF(B105="","",_xll.BDP($B105,F$8,"fill=b"))</f>
        <v>WR</v>
      </c>
      <c r="G105" s="150" t="str" cm="1">
        <f t="array" ref="G105">IF(B105="","",_xll.BDP($B105,G$8,"fill=b"))</f>
        <v/>
      </c>
      <c r="H105" s="150" t="str" cm="1">
        <f t="array" ref="H105">IF(B105="","",IF(LEFT(_xlfn.SINGLE(_xll.BDP($B105,H$8,"fill=b")),1)="#","-",_xll.BDP($B105,H$8,"fill=b")))</f>
        <v>VALE3 BZ</v>
      </c>
      <c r="I105" s="150" t="str" cm="1">
        <f t="array" ref="I105">IF(OR(B105="",TRIM(H105)="-"),"",_xll.BDP(H105&amp;" Equity",I$8,"fill=b"))</f>
        <v>VALE SA</v>
      </c>
      <c r="J105" s="150" t="str" cm="1">
        <f t="array" ref="J105">IF(OR($B105="",$H105="-"),"",_xll.BDP($H105&amp;" Equity",J$8,"fill=b"))</f>
        <v>Baa2</v>
      </c>
      <c r="K105" s="150" t="str" cm="1">
        <f t="array" ref="K105">IF(OR($B105="",$H105="-"),"",_xll.BDP($H105&amp;" Equity",K$8,"fill=b"))</f>
        <v>BBB-</v>
      </c>
      <c r="L105" s="258" t="str" cm="1">
        <f t="array" ref="L105">IF(OR($B105="",$H105="-"),"",_xll.BDP($H105&amp;" Equity",L$8,"fill=b"))</f>
        <v>BBB</v>
      </c>
    </row>
    <row r="106" spans="2:12" x14ac:dyDescent="0.25">
      <c r="B106" s="182" t="str">
        <v>EK092488 Corp</v>
      </c>
      <c r="C106" s="150" t="str" cm="1">
        <f t="array" ref="C106">IF(B106="","",_xll.BDP($B106,C$8,"fill=b"))</f>
        <v>MODUEN Float 08/15/24</v>
      </c>
      <c r="D106" s="150" t="str" cm="1">
        <f t="array" ref="D106">IF(B106="","",_xll.BDP($B106,D$8,"fill=b"))</f>
        <v>MOURA DUBEUX ENGENHARIA</v>
      </c>
      <c r="E106" s="150" t="str" cm="1">
        <f t="array" ref="E106">IF(C106="","",_xll.BDP($B106,E$8,"fill=b"))</f>
        <v/>
      </c>
      <c r="F106" s="150" t="str" cm="1">
        <f t="array" ref="F106">IF(B106="","",_xll.BDP($B106,F$8,"fill=b"))</f>
        <v/>
      </c>
      <c r="G106" s="150" t="str" cm="1">
        <f t="array" ref="G106">IF(B106="","",_xll.BDP($B106,G$8,"fill=b"))</f>
        <v/>
      </c>
      <c r="H106" s="150" t="str" cm="1">
        <f t="array" ref="H106">IF(B106="","",IF(LEFT(_xlfn.SINGLE(_xll.BDP($B106,H$8,"fill=b")),1)="#","-",_xll.BDP($B106,H$8,"fill=b")))</f>
        <v>MDNE3 BZ</v>
      </c>
      <c r="I106" s="150" t="str" cm="1">
        <f t="array" ref="I106">IF(OR(B106="",TRIM(H106)="-"),"",_xll.BDP(H106&amp;" Equity",I$8,"fill=b"))</f>
        <v>MOURA DUBEUX ENGENHARIA S/A</v>
      </c>
      <c r="J106" s="150" t="str" cm="1">
        <f t="array" ref="J106">IF(OR($B106="",$H106="-"),"",_xll.BDP($H106&amp;" Equity",J$8,"fill=b"))</f>
        <v/>
      </c>
      <c r="K106" s="150" t="str" cm="1">
        <f t="array" ref="K106">IF(OR($B106="",$H106="-"),"",_xll.BDP($H106&amp;" Equity",K$8,"fill=b"))</f>
        <v/>
      </c>
      <c r="L106" s="258" t="str" cm="1">
        <f t="array" ref="L106">IF(OR($B106="",$H106="-"),"",_xll.BDP($H106&amp;" Equity",L$8,"fill=b"))</f>
        <v/>
      </c>
    </row>
    <row r="107" spans="2:12" x14ac:dyDescent="0.25">
      <c r="B107" s="182" t="str">
        <v>EK128086 Corp</v>
      </c>
      <c r="C107" s="150" t="str" cm="1">
        <f t="array" ref="C107">IF(B107="","",_xll.BDP($B107,C$8,"fill=b"))</f>
        <v>SAENER 7.4943 04/15/24</v>
      </c>
      <c r="D107" s="150" t="str" cm="1">
        <f t="array" ref="D107">IF(B107="","",_xll.BDP($B107,D$8,"fill=b"))</f>
        <v>SANTO ANTONIO ENERGIA</v>
      </c>
      <c r="E107" s="150" t="str" cm="1">
        <f t="array" ref="E107">IF(C107="","",_xll.BDP($B107,E$8,"fill=b"))</f>
        <v/>
      </c>
      <c r="F107" s="150" t="str" cm="1">
        <f t="array" ref="F107">IF(B107="","",_xll.BDP($B107,F$8,"fill=b"))</f>
        <v/>
      </c>
      <c r="G107" s="150" t="str" cm="1">
        <f t="array" ref="G107">IF(B107="","",_xll.BDP($B107,G$8,"fill=b"))</f>
        <v/>
      </c>
      <c r="H107" s="150" t="str" cm="1">
        <f t="array" ref="H107">IF(B107="","",IF(LEFT(_xlfn.SINGLE(_xll.BDP($B107,H$8,"fill=b")),1)="#","-",_xll.BDP($B107,H$8,"fill=b")))</f>
        <v>ELET3 BZ</v>
      </c>
      <c r="I107" s="150" t="str" cm="1">
        <f t="array" ref="I107">IF(OR(B107="",TRIM(H107)="-"),"",_xll.BDP(H107&amp;" Equity",I$8,"fill=b"))</f>
        <v>CENTRAIS ELETRICAS BRASILIER</v>
      </c>
      <c r="J107" s="150" t="str" cm="1">
        <f t="array" ref="J107">IF(OR($B107="",$H107="-"),"",_xll.BDP($H107&amp;" Equity",J$8,"fill=b"))</f>
        <v>Ba1</v>
      </c>
      <c r="K107" s="150" t="str" cm="1">
        <f t="array" ref="K107">IF(OR($B107="",$H107="-"),"",_xll.BDP($H107&amp;" Equity",K$8,"fill=b"))</f>
        <v>BB</v>
      </c>
      <c r="L107" s="258" t="str" cm="1">
        <f t="array" ref="L107">IF(OR($B107="",$H107="-"),"",_xll.BDP($H107&amp;" Equity",L$8,"fill=b"))</f>
        <v>BB-</v>
      </c>
    </row>
    <row r="108" spans="2:12" x14ac:dyDescent="0.25">
      <c r="B108" s="182" t="str">
        <v>EK1419994 Corp</v>
      </c>
      <c r="C108" s="150" t="str" cm="1">
        <f t="array" ref="C108">IF(B108="","",_xll.BDP($B108,C$8,"fill=b"))</f>
        <v>CAIGBZ 7.86 03/15/25</v>
      </c>
      <c r="D108" s="150" t="str" cm="1">
        <f t="array" ref="D108">IF(B108="","",_xll.BDP($B108,D$8,"fill=b"))</f>
        <v>CONCESSIONARIA DO AEROPO</v>
      </c>
      <c r="E108" s="150" t="str" cm="1">
        <f t="array" ref="E108">IF(C108="","",_xll.BDP($B108,E$8,"fill=b"))</f>
        <v/>
      </c>
      <c r="F108" s="150" t="str" cm="1">
        <f t="array" ref="F108">IF(B108="","",_xll.BDP($B108,F$8,"fill=b"))</f>
        <v/>
      </c>
      <c r="G108" s="150" t="str" cm="1">
        <f t="array" ref="G108">IF(B108="","",_xll.BDP($B108,G$8,"fill=b"))</f>
        <v/>
      </c>
      <c r="H108" s="150" t="str" cm="1">
        <f t="array" ref="H108">IF(B108="","",IF(LEFT(_xlfn.SINGLE(_xll.BDP($B108,H$8,"fill=b")),1)="#","-",_xll.BDP($B108,H$8,"fill=b")))</f>
        <v>IVPR3B BZ</v>
      </c>
      <c r="I108" s="150" t="str" cm="1">
        <f t="array" ref="I108">IF(OR(B108="",TRIM(H108)="-"),"",_xll.BDP(H108&amp;" Equity",I$8,"fill=b"))</f>
        <v>INV E PART INFRA-EST-INVEPAR</v>
      </c>
      <c r="J108" s="150" t="str" cm="1">
        <f t="array" ref="J108">IF(OR($B108="",$H108="-"),"",_xll.BDP($H108&amp;" Equity",J$8,"fill=b"))</f>
        <v/>
      </c>
      <c r="K108" s="150" t="str" cm="1">
        <f t="array" ref="K108">IF(OR($B108="",$H108="-"),"",_xll.BDP($H108&amp;" Equity",K$8,"fill=b"))</f>
        <v>D</v>
      </c>
      <c r="L108" s="258" t="str" cm="1">
        <f t="array" ref="L108">IF(OR($B108="",$H108="-"),"",_xll.BDP($H108&amp;" Equity",L$8,"fill=b"))</f>
        <v>WD</v>
      </c>
    </row>
    <row r="109" spans="2:12" x14ac:dyDescent="0.25">
      <c r="B109" s="182" t="str">
        <v/>
      </c>
      <c r="C109" s="150" t="str">
        <f>IF(B109="","",_xll.BDP($B109,C$8,"fill=b"))</f>
        <v/>
      </c>
      <c r="D109" s="150" t="str">
        <f>IF(B109="","",_xll.BDP($B109,D$8,"fill=b"))</f>
        <v/>
      </c>
      <c r="E109" s="150" t="str">
        <f>IF(C109="","",_xll.BDP($B109,E$8,"fill=b"))</f>
        <v/>
      </c>
      <c r="F109" s="150" t="str">
        <f>IF(B109="","",_xll.BDP($B109,F$8,"fill=b"))</f>
        <v/>
      </c>
      <c r="G109" s="150" t="str">
        <f>IF(B109="","",_xll.BDP($B109,G$8,"fill=b"))</f>
        <v/>
      </c>
      <c r="H109" s="150" t="str">
        <f>IF(B109="","",IF(LEFT(_xll.BDP($B109,H$8,"fill=b"),1)="#","-",_xll.BDP($B109,H$8,"fill=b")))</f>
        <v/>
      </c>
      <c r="I109" s="150" t="str">
        <f>IF(OR(B109="",TRIM(H109)="-"),"",_xll.BDP(H109&amp;" Equity",I$8,"fill=b"))</f>
        <v/>
      </c>
      <c r="J109" s="150" t="str">
        <f>IF(OR($B109="",$H109="-"),"",_xll.BDP($H109&amp;" Equity",J$8,"fill=b"))</f>
        <v/>
      </c>
      <c r="K109" s="150" t="str">
        <f>IF(OR($B109="",$H109="-"),"",_xll.BDP($H109&amp;" Equity",K$8,"fill=b"))</f>
        <v/>
      </c>
      <c r="L109" s="258" t="str">
        <f>IF(OR($B109="",$H109="-"),"",_xll.BDP($H109&amp;" Equity",L$8,"fill=b"))</f>
        <v/>
      </c>
    </row>
    <row r="110" spans="2:12" x14ac:dyDescent="0.25">
      <c r="B110" s="182" t="str">
        <v/>
      </c>
      <c r="C110" s="150" t="str">
        <f>IF(B110="","",_xll.BDP($B110,C$8,"fill=b"))</f>
        <v/>
      </c>
      <c r="D110" s="150" t="str">
        <f>IF(B110="","",_xll.BDP($B110,D$8,"fill=b"))</f>
        <v/>
      </c>
      <c r="E110" s="150" t="str">
        <f>IF(C110="","",_xll.BDP($B110,E$8,"fill=b"))</f>
        <v/>
      </c>
      <c r="F110" s="150" t="str">
        <f>IF(B110="","",_xll.BDP($B110,F$8,"fill=b"))</f>
        <v/>
      </c>
      <c r="G110" s="150" t="str">
        <f>IF(B110="","",_xll.BDP($B110,G$8,"fill=b"))</f>
        <v/>
      </c>
      <c r="H110" s="150" t="str">
        <f>IF(B110="","",IF(LEFT(_xll.BDP($B110,H$8,"fill=b"),1)="#","-",_xll.BDP($B110,H$8,"fill=b")))</f>
        <v/>
      </c>
      <c r="I110" s="150" t="str">
        <f>IF(OR(B110="",TRIM(H110)="-"),"",_xll.BDP(H110&amp;" Equity",I$8,"fill=b"))</f>
        <v/>
      </c>
      <c r="J110" s="150" t="str">
        <f>IF(OR($B110="",$H110="-"),"",_xll.BDP($H110&amp;" Equity",J$8,"fill=b"))</f>
        <v/>
      </c>
      <c r="K110" s="150" t="str">
        <f>IF(OR($B110="",$H110="-"),"",_xll.BDP($H110&amp;" Equity",K$8,"fill=b"))</f>
        <v/>
      </c>
      <c r="L110" s="258" t="str">
        <f>IF(OR($B110="",$H110="-"),"",_xll.BDP($H110&amp;" Equity",L$8,"fill=b"))</f>
        <v/>
      </c>
    </row>
    <row r="111" spans="2:12" x14ac:dyDescent="0.25">
      <c r="B111" s="182" t="str">
        <v/>
      </c>
      <c r="C111" s="150" t="str">
        <f>IF(B111="","",_xll.BDP($B111,C$8,"fill=b"))</f>
        <v/>
      </c>
      <c r="D111" s="150" t="str">
        <f>IF(B111="","",_xll.BDP($B111,D$8,"fill=b"))</f>
        <v/>
      </c>
      <c r="E111" s="150" t="str">
        <f>IF(C111="","",_xll.BDP($B111,E$8,"fill=b"))</f>
        <v/>
      </c>
      <c r="F111" s="150" t="str">
        <f>IF(B111="","",_xll.BDP($B111,F$8,"fill=b"))</f>
        <v/>
      </c>
      <c r="G111" s="150" t="str">
        <f>IF(B111="","",_xll.BDP($B111,G$8,"fill=b"))</f>
        <v/>
      </c>
      <c r="H111" s="150" t="str">
        <f>IF(B111="","",IF(LEFT(_xll.BDP($B111,H$8,"fill=b"),1)="#","-",_xll.BDP($B111,H$8,"fill=b")))</f>
        <v/>
      </c>
      <c r="I111" s="150" t="str">
        <f>IF(OR(B111="",TRIM(H111)="-"),"",_xll.BDP(H111&amp;" Equity",I$8,"fill=b"))</f>
        <v/>
      </c>
      <c r="J111" s="150" t="str">
        <f>IF(OR($B111="",$H111="-"),"",_xll.BDP($H111&amp;" Equity",J$8,"fill=b"))</f>
        <v/>
      </c>
      <c r="K111" s="150" t="str">
        <f>IF(OR($B111="",$H111="-"),"",_xll.BDP($H111&amp;" Equity",K$8,"fill=b"))</f>
        <v/>
      </c>
      <c r="L111" s="258" t="str">
        <f>IF(OR($B111="",$H111="-"),"",_xll.BDP($H111&amp;" Equity",L$8,"fill=b"))</f>
        <v/>
      </c>
    </row>
    <row r="112" spans="2:12" x14ac:dyDescent="0.25">
      <c r="B112" s="182" t="str">
        <v/>
      </c>
      <c r="C112" s="150" t="str">
        <f>IF(B112="","",_xll.BDP($B112,C$8,"fill=b"))</f>
        <v/>
      </c>
      <c r="D112" s="150" t="str">
        <f>IF(B112="","",_xll.BDP($B112,D$8,"fill=b"))</f>
        <v/>
      </c>
      <c r="E112" s="150" t="str">
        <f>IF(C112="","",_xll.BDP($B112,E$8,"fill=b"))</f>
        <v/>
      </c>
      <c r="F112" s="150" t="str">
        <f>IF(B112="","",_xll.BDP($B112,F$8,"fill=b"))</f>
        <v/>
      </c>
      <c r="G112" s="150" t="str">
        <f>IF(B112="","",_xll.BDP($B112,G$8,"fill=b"))</f>
        <v/>
      </c>
      <c r="H112" s="150" t="str">
        <f>IF(B112="","",IF(LEFT(_xll.BDP($B112,H$8,"fill=b"),1)="#","-",_xll.BDP($B112,H$8,"fill=b")))</f>
        <v/>
      </c>
      <c r="I112" s="150" t="str">
        <f>IF(OR(B112="",TRIM(H112)="-"),"",_xll.BDP(H112&amp;" Equity",I$8,"fill=b"))</f>
        <v/>
      </c>
      <c r="J112" s="150" t="str">
        <f>IF(OR($B112="",$H112="-"),"",_xll.BDP($H112&amp;" Equity",J$8,"fill=b"))</f>
        <v/>
      </c>
      <c r="K112" s="150" t="str">
        <f>IF(OR($B112="",$H112="-"),"",_xll.BDP($H112&amp;" Equity",K$8,"fill=b"))</f>
        <v/>
      </c>
      <c r="L112" s="258" t="str">
        <f>IF(OR($B112="",$H112="-"),"",_xll.BDP($H112&amp;" Equity",L$8,"fill=b"))</f>
        <v/>
      </c>
    </row>
    <row r="113" spans="2:12" x14ac:dyDescent="0.25">
      <c r="B113" s="182" t="str">
        <v/>
      </c>
      <c r="C113" s="150" t="str">
        <f>IF(B113="","",_xll.BDP($B113,C$8,"fill=b"))</f>
        <v/>
      </c>
      <c r="D113" s="150" t="str">
        <f>IF(B113="","",_xll.BDP($B113,D$8,"fill=b"))</f>
        <v/>
      </c>
      <c r="E113" s="150" t="str">
        <f>IF(C113="","",_xll.BDP($B113,E$8,"fill=b"))</f>
        <v/>
      </c>
      <c r="F113" s="150" t="str">
        <f>IF(B113="","",_xll.BDP($B113,F$8,"fill=b"))</f>
        <v/>
      </c>
      <c r="G113" s="150" t="str">
        <f>IF(B113="","",_xll.BDP($B113,G$8,"fill=b"))</f>
        <v/>
      </c>
      <c r="H113" s="150" t="str">
        <f>IF(B113="","",IF(LEFT(_xll.BDP($B113,H$8,"fill=b"),1)="#","-",_xll.BDP($B113,H$8,"fill=b")))</f>
        <v/>
      </c>
      <c r="I113" s="150" t="str">
        <f>IF(OR(B113="",TRIM(H113)="-"),"",_xll.BDP(H113&amp;" Equity",I$8,"fill=b"))</f>
        <v/>
      </c>
      <c r="J113" s="150" t="str">
        <f>IF(OR($B113="",$H113="-"),"",_xll.BDP($H113&amp;" Equity",J$8,"fill=b"))</f>
        <v/>
      </c>
      <c r="K113" s="150" t="str">
        <f>IF(OR($B113="",$H113="-"),"",_xll.BDP($H113&amp;" Equity",K$8,"fill=b"))</f>
        <v/>
      </c>
      <c r="L113" s="258" t="str">
        <f>IF(OR($B113="",$H113="-"),"",_xll.BDP($H113&amp;" Equity",L$8,"fill=b"))</f>
        <v/>
      </c>
    </row>
    <row r="114" spans="2:12" x14ac:dyDescent="0.25">
      <c r="B114" s="182" t="str">
        <v/>
      </c>
      <c r="C114" s="150" t="str">
        <f>IF(B114="","",_xll.BDP($B114,C$8,"fill=b"))</f>
        <v/>
      </c>
      <c r="D114" s="150" t="str">
        <f>IF(B114="","",_xll.BDP($B114,D$8,"fill=b"))</f>
        <v/>
      </c>
      <c r="E114" s="150" t="str">
        <f>IF(C114="","",_xll.BDP($B114,E$8,"fill=b"))</f>
        <v/>
      </c>
      <c r="F114" s="150" t="str">
        <f>IF(B114="","",_xll.BDP($B114,F$8,"fill=b"))</f>
        <v/>
      </c>
      <c r="G114" s="150" t="str">
        <f>IF(B114="","",_xll.BDP($B114,G$8,"fill=b"))</f>
        <v/>
      </c>
      <c r="H114" s="150" t="str">
        <f>IF(B114="","",IF(LEFT(_xll.BDP($B114,H$8,"fill=b"),1)="#","-",_xll.BDP($B114,H$8,"fill=b")))</f>
        <v/>
      </c>
      <c r="I114" s="150" t="str">
        <f>IF(OR(B114="",TRIM(H114)="-"),"",_xll.BDP(H114&amp;" Equity",I$8,"fill=b"))</f>
        <v/>
      </c>
      <c r="J114" s="150" t="str">
        <f>IF(OR($B114="",$H114="-"),"",_xll.BDP($H114&amp;" Equity",J$8,"fill=b"))</f>
        <v/>
      </c>
      <c r="K114" s="150" t="str">
        <f>IF(OR($B114="",$H114="-"),"",_xll.BDP($H114&amp;" Equity",K$8,"fill=b"))</f>
        <v/>
      </c>
      <c r="L114" s="258" t="str">
        <f>IF(OR($B114="",$H114="-"),"",_xll.BDP($H114&amp;" Equity",L$8,"fill=b"))</f>
        <v/>
      </c>
    </row>
    <row r="115" spans="2:12" x14ac:dyDescent="0.25">
      <c r="B115" s="182" t="str">
        <v/>
      </c>
      <c r="C115" s="150" t="str">
        <f>IF(B115="","",_xll.BDP($B115,C$8,"fill=b"))</f>
        <v/>
      </c>
      <c r="D115" s="150" t="str">
        <f>IF(B115="","",_xll.BDP($B115,D$8,"fill=b"))</f>
        <v/>
      </c>
      <c r="E115" s="150" t="str">
        <f>IF(C115="","",_xll.BDP($B115,E$8,"fill=b"))</f>
        <v/>
      </c>
      <c r="F115" s="150" t="str">
        <f>IF(B115="","",_xll.BDP($B115,F$8,"fill=b"))</f>
        <v/>
      </c>
      <c r="G115" s="150" t="str">
        <f>IF(B115="","",_xll.BDP($B115,G$8,"fill=b"))</f>
        <v/>
      </c>
      <c r="H115" s="150" t="str">
        <f>IF(B115="","",IF(LEFT(_xll.BDP($B115,H$8,"fill=b"),1)="#","-",_xll.BDP($B115,H$8,"fill=b")))</f>
        <v/>
      </c>
      <c r="I115" s="150" t="str">
        <f>IF(OR(B115="",TRIM(H115)="-"),"",_xll.BDP(H115&amp;" Equity",I$8,"fill=b"))</f>
        <v/>
      </c>
      <c r="J115" s="150" t="str">
        <f>IF(OR($B115="",$H115="-"),"",_xll.BDP($H115&amp;" Equity",J$8,"fill=b"))</f>
        <v/>
      </c>
      <c r="K115" s="150" t="str">
        <f>IF(OR($B115="",$H115="-"),"",_xll.BDP($H115&amp;" Equity",K$8,"fill=b"))</f>
        <v/>
      </c>
      <c r="L115" s="258" t="str">
        <f>IF(OR($B115="",$H115="-"),"",_xll.BDP($H115&amp;" Equity",L$8,"fill=b"))</f>
        <v/>
      </c>
    </row>
    <row r="116" spans="2:12" x14ac:dyDescent="0.25">
      <c r="B116" s="182" t="str">
        <v/>
      </c>
      <c r="C116" s="150" t="str">
        <f>IF(B116="","",_xll.BDP($B116,C$8,"fill=b"))</f>
        <v/>
      </c>
      <c r="D116" s="150" t="str">
        <f>IF(B116="","",_xll.BDP($B116,D$8,"fill=b"))</f>
        <v/>
      </c>
      <c r="E116" s="150" t="str">
        <f>IF(C116="","",_xll.BDP($B116,E$8,"fill=b"))</f>
        <v/>
      </c>
      <c r="F116" s="150" t="str">
        <f>IF(B116="","",_xll.BDP($B116,F$8,"fill=b"))</f>
        <v/>
      </c>
      <c r="G116" s="150" t="str">
        <f>IF(B116="","",_xll.BDP($B116,G$8,"fill=b"))</f>
        <v/>
      </c>
      <c r="H116" s="150" t="str">
        <f>IF(B116="","",IF(LEFT(_xll.BDP($B116,H$8,"fill=b"),1)="#","-",_xll.BDP($B116,H$8,"fill=b")))</f>
        <v/>
      </c>
      <c r="I116" s="150" t="str">
        <f>IF(OR(B116="",TRIM(H116)="-"),"",_xll.BDP(H116&amp;" Equity",I$8,"fill=b"))</f>
        <v/>
      </c>
      <c r="J116" s="150" t="str">
        <f>IF(OR($B116="",$H116="-"),"",_xll.BDP($H116&amp;" Equity",J$8,"fill=b"))</f>
        <v/>
      </c>
      <c r="K116" s="150" t="str">
        <f>IF(OR($B116="",$H116="-"),"",_xll.BDP($H116&amp;" Equity",K$8,"fill=b"))</f>
        <v/>
      </c>
      <c r="L116" s="258" t="str">
        <f>IF(OR($B116="",$H116="-"),"",_xll.BDP($H116&amp;" Equity",L$8,"fill=b"))</f>
        <v/>
      </c>
    </row>
    <row r="117" spans="2:12" x14ac:dyDescent="0.25">
      <c r="B117" s="182" t="str">
        <v/>
      </c>
      <c r="C117" s="150" t="str">
        <f>IF(B117="","",_xll.BDP($B117,C$8,"fill=b"))</f>
        <v/>
      </c>
      <c r="D117" s="150" t="str">
        <f>IF(B117="","",_xll.BDP($B117,D$8,"fill=b"))</f>
        <v/>
      </c>
      <c r="E117" s="150" t="str">
        <f>IF(C117="","",_xll.BDP($B117,E$8,"fill=b"))</f>
        <v/>
      </c>
      <c r="F117" s="150" t="str">
        <f>IF(B117="","",_xll.BDP($B117,F$8,"fill=b"))</f>
        <v/>
      </c>
      <c r="G117" s="150" t="str">
        <f>IF(B117="","",_xll.BDP($B117,G$8,"fill=b"))</f>
        <v/>
      </c>
      <c r="H117" s="150" t="str">
        <f>IF(B117="","",IF(LEFT(_xll.BDP($B117,H$8,"fill=b"),1)="#","-",_xll.BDP($B117,H$8,"fill=b")))</f>
        <v/>
      </c>
      <c r="I117" s="150" t="str">
        <f>IF(OR(B117="",TRIM(H117)="-"),"",_xll.BDP(H117&amp;" Equity",I$8,"fill=b"))</f>
        <v/>
      </c>
      <c r="J117" s="150" t="str">
        <f>IF(OR($B117="",$H117="-"),"",_xll.BDP($H117&amp;" Equity",J$8,"fill=b"))</f>
        <v/>
      </c>
      <c r="K117" s="150" t="str">
        <f>IF(OR($B117="",$H117="-"),"",_xll.BDP($H117&amp;" Equity",K$8,"fill=b"))</f>
        <v/>
      </c>
      <c r="L117" s="258" t="str">
        <f>IF(OR($B117="",$H117="-"),"",_xll.BDP($H117&amp;" Equity",L$8,"fill=b"))</f>
        <v/>
      </c>
    </row>
    <row r="118" spans="2:12" x14ac:dyDescent="0.25">
      <c r="B118" s="182" t="str">
        <v/>
      </c>
      <c r="C118" s="150" t="str">
        <f>IF(B118="","",_xll.BDP($B118,C$8,"fill=b"))</f>
        <v/>
      </c>
      <c r="D118" s="150" t="str">
        <f>IF(B118="","",_xll.BDP($B118,D$8,"fill=b"))</f>
        <v/>
      </c>
      <c r="E118" s="150" t="str">
        <f>IF(C118="","",_xll.BDP($B118,E$8,"fill=b"))</f>
        <v/>
      </c>
      <c r="F118" s="150" t="str">
        <f>IF(B118="","",_xll.BDP($B118,F$8,"fill=b"))</f>
        <v/>
      </c>
      <c r="G118" s="150" t="str">
        <f>IF(B118="","",_xll.BDP($B118,G$8,"fill=b"))</f>
        <v/>
      </c>
      <c r="H118" s="150" t="str">
        <f>IF(B118="","",IF(LEFT(_xll.BDP($B118,H$8,"fill=b"),1)="#","-",_xll.BDP($B118,H$8,"fill=b")))</f>
        <v/>
      </c>
      <c r="I118" s="150" t="str">
        <f>IF(OR(B118="",TRIM(H118)="-"),"",_xll.BDP(H118&amp;" Equity",I$8,"fill=b"))</f>
        <v/>
      </c>
      <c r="J118" s="150" t="str">
        <f>IF(OR($B118="",$H118="-"),"",_xll.BDP($H118&amp;" Equity",J$8,"fill=b"))</f>
        <v/>
      </c>
      <c r="K118" s="150" t="str">
        <f>IF(OR($B118="",$H118="-"),"",_xll.BDP($H118&amp;" Equity",K$8,"fill=b"))</f>
        <v/>
      </c>
      <c r="L118" s="258" t="str">
        <f>IF(OR($B118="",$H118="-"),"",_xll.BDP($H118&amp;" Equity",L$8,"fill=b"))</f>
        <v/>
      </c>
    </row>
    <row r="119" spans="2:12" x14ac:dyDescent="0.25">
      <c r="B119" s="182" t="str">
        <v/>
      </c>
      <c r="C119" s="150" t="str">
        <f>IF(B119="","",_xll.BDP($B119,C$8,"fill=b"))</f>
        <v/>
      </c>
      <c r="D119" s="150" t="str">
        <f>IF(B119="","",_xll.BDP($B119,D$8,"fill=b"))</f>
        <v/>
      </c>
      <c r="E119" s="150" t="str">
        <f>IF(C119="","",_xll.BDP($B119,E$8,"fill=b"))</f>
        <v/>
      </c>
      <c r="F119" s="150" t="str">
        <f>IF(B119="","",_xll.BDP($B119,F$8,"fill=b"))</f>
        <v/>
      </c>
      <c r="G119" s="150" t="str">
        <f>IF(B119="","",_xll.BDP($B119,G$8,"fill=b"))</f>
        <v/>
      </c>
      <c r="H119" s="150" t="str">
        <f>IF(B119="","",IF(LEFT(_xll.BDP($B119,H$8,"fill=b"),1)="#","-",_xll.BDP($B119,H$8,"fill=b")))</f>
        <v/>
      </c>
      <c r="I119" s="150" t="str">
        <f>IF(OR(B119="",TRIM(H119)="-"),"",_xll.BDP(H119&amp;" Equity",I$8,"fill=b"))</f>
        <v/>
      </c>
      <c r="J119" s="150" t="str">
        <f>IF(OR($B119="",$H119="-"),"",_xll.BDP($H119&amp;" Equity",J$8,"fill=b"))</f>
        <v/>
      </c>
      <c r="K119" s="150" t="str">
        <f>IF(OR($B119="",$H119="-"),"",_xll.BDP($H119&amp;" Equity",K$8,"fill=b"))</f>
        <v/>
      </c>
      <c r="L119" s="258" t="str">
        <f>IF(OR($B119="",$H119="-"),"",_xll.BDP($H119&amp;" Equity",L$8,"fill=b"))</f>
        <v/>
      </c>
    </row>
    <row r="120" spans="2:12" x14ac:dyDescent="0.25">
      <c r="B120" s="182" t="str">
        <v/>
      </c>
      <c r="C120" s="150" t="str">
        <f>IF(B120="","",_xll.BDP($B120,C$8,"fill=b"))</f>
        <v/>
      </c>
      <c r="D120" s="150" t="str">
        <f>IF(B120="","",_xll.BDP($B120,D$8,"fill=b"))</f>
        <v/>
      </c>
      <c r="E120" s="150" t="str">
        <f>IF(C120="","",_xll.BDP($B120,E$8,"fill=b"))</f>
        <v/>
      </c>
      <c r="F120" s="150" t="str">
        <f>IF(B120="","",_xll.BDP($B120,F$8,"fill=b"))</f>
        <v/>
      </c>
      <c r="G120" s="150" t="str">
        <f>IF(B120="","",_xll.BDP($B120,G$8,"fill=b"))</f>
        <v/>
      </c>
      <c r="H120" s="150" t="str">
        <f>IF(B120="","",IF(LEFT(_xll.BDP($B120,H$8,"fill=b"),1)="#","-",_xll.BDP($B120,H$8,"fill=b")))</f>
        <v/>
      </c>
      <c r="I120" s="150" t="str">
        <f>IF(OR(B120="",TRIM(H120)="-"),"",_xll.BDP(H120&amp;" Equity",I$8,"fill=b"))</f>
        <v/>
      </c>
      <c r="J120" s="150" t="str">
        <f>IF(OR($B120="",$H120="-"),"",_xll.BDP($H120&amp;" Equity",J$8,"fill=b"))</f>
        <v/>
      </c>
      <c r="K120" s="150" t="str">
        <f>IF(OR($B120="",$H120="-"),"",_xll.BDP($H120&amp;" Equity",K$8,"fill=b"))</f>
        <v/>
      </c>
      <c r="L120" s="258" t="str">
        <f>IF(OR($B120="",$H120="-"),"",_xll.BDP($H120&amp;" Equity",L$8,"fill=b"))</f>
        <v/>
      </c>
    </row>
    <row r="121" spans="2:12" x14ac:dyDescent="0.25">
      <c r="B121" s="182" t="str">
        <v/>
      </c>
      <c r="C121" s="150" t="str">
        <f>IF(B121="","",_xll.BDP($B121,C$8,"fill=b"))</f>
        <v/>
      </c>
      <c r="D121" s="150" t="str">
        <f>IF(B121="","",_xll.BDP($B121,D$8,"fill=b"))</f>
        <v/>
      </c>
      <c r="E121" s="150" t="str">
        <f>IF(C121="","",_xll.BDP($B121,E$8,"fill=b"))</f>
        <v/>
      </c>
      <c r="F121" s="150" t="str">
        <f>IF(B121="","",_xll.BDP($B121,F$8,"fill=b"))</f>
        <v/>
      </c>
      <c r="G121" s="150" t="str">
        <f>IF(B121="","",_xll.BDP($B121,G$8,"fill=b"))</f>
        <v/>
      </c>
      <c r="H121" s="150" t="str">
        <f>IF(B121="","",IF(LEFT(_xll.BDP($B121,H$8,"fill=b"),1)="#","-",_xll.BDP($B121,H$8,"fill=b")))</f>
        <v/>
      </c>
      <c r="I121" s="150" t="str">
        <f>IF(OR(B121="",TRIM(H121)="-"),"",_xll.BDP(H121&amp;" Equity",I$8,"fill=b"))</f>
        <v/>
      </c>
      <c r="J121" s="150" t="str">
        <f>IF(OR($B121="",$H121="-"),"",_xll.BDP($H121&amp;" Equity",J$8,"fill=b"))</f>
        <v/>
      </c>
      <c r="K121" s="150" t="str">
        <f>IF(OR($B121="",$H121="-"),"",_xll.BDP($H121&amp;" Equity",K$8,"fill=b"))</f>
        <v/>
      </c>
      <c r="L121" s="258" t="str">
        <f>IF(OR($B121="",$H121="-"),"",_xll.BDP($H121&amp;" Equity",L$8,"fill=b"))</f>
        <v/>
      </c>
    </row>
    <row r="122" spans="2:12" x14ac:dyDescent="0.25">
      <c r="B122" s="182" t="str">
        <v/>
      </c>
      <c r="C122" s="150" t="str">
        <f>IF(B122="","",_xll.BDP($B122,C$8,"fill=b"))</f>
        <v/>
      </c>
      <c r="D122" s="150" t="str">
        <f>IF(B122="","",_xll.BDP($B122,D$8,"fill=b"))</f>
        <v/>
      </c>
      <c r="E122" s="150" t="str">
        <f>IF(C122="","",_xll.BDP($B122,E$8,"fill=b"))</f>
        <v/>
      </c>
      <c r="F122" s="150" t="str">
        <f>IF(B122="","",_xll.BDP($B122,F$8,"fill=b"))</f>
        <v/>
      </c>
      <c r="G122" s="150" t="str">
        <f>IF(B122="","",_xll.BDP($B122,G$8,"fill=b"))</f>
        <v/>
      </c>
      <c r="H122" s="150" t="str">
        <f>IF(B122="","",IF(LEFT(_xll.BDP($B122,H$8,"fill=b"),1)="#","-",_xll.BDP($B122,H$8,"fill=b")))</f>
        <v/>
      </c>
      <c r="I122" s="150" t="str">
        <f>IF(OR(B122="",TRIM(H122)="-"),"",_xll.BDP(H122&amp;" Equity",I$8,"fill=b"))</f>
        <v/>
      </c>
      <c r="J122" s="150" t="str">
        <f>IF(OR($B122="",$H122="-"),"",_xll.BDP($H122&amp;" Equity",J$8,"fill=b"))</f>
        <v/>
      </c>
      <c r="K122" s="150" t="str">
        <f>IF(OR($B122="",$H122="-"),"",_xll.BDP($H122&amp;" Equity",K$8,"fill=b"))</f>
        <v/>
      </c>
      <c r="L122" s="258" t="str">
        <f>IF(OR($B122="",$H122="-"),"",_xll.BDP($H122&amp;" Equity",L$8,"fill=b"))</f>
        <v/>
      </c>
    </row>
    <row r="123" spans="2:12" x14ac:dyDescent="0.25">
      <c r="B123" s="182" t="str">
        <v/>
      </c>
      <c r="C123" s="150" t="str">
        <f>IF(B123="","",_xll.BDP($B123,C$8,"fill=b"))</f>
        <v/>
      </c>
      <c r="D123" s="150" t="str">
        <f>IF(B123="","",_xll.BDP($B123,D$8,"fill=b"))</f>
        <v/>
      </c>
      <c r="E123" s="150" t="str">
        <f>IF(C123="","",_xll.BDP($B123,E$8,"fill=b"))</f>
        <v/>
      </c>
      <c r="F123" s="150" t="str">
        <f>IF(B123="","",_xll.BDP($B123,F$8,"fill=b"))</f>
        <v/>
      </c>
      <c r="G123" s="150" t="str">
        <f>IF(B123="","",_xll.BDP($B123,G$8,"fill=b"))</f>
        <v/>
      </c>
      <c r="H123" s="150" t="str">
        <f>IF(B123="","",IF(LEFT(_xll.BDP($B123,H$8,"fill=b"),1)="#","-",_xll.BDP($B123,H$8,"fill=b")))</f>
        <v/>
      </c>
      <c r="I123" s="150" t="str">
        <f>IF(OR(B123="",TRIM(H123)="-"),"",_xll.BDP(H123&amp;" Equity",I$8,"fill=b"))</f>
        <v/>
      </c>
      <c r="J123" s="150" t="str">
        <f>IF(OR($B123="",$H123="-"),"",_xll.BDP($H123&amp;" Equity",J$8,"fill=b"))</f>
        <v/>
      </c>
      <c r="K123" s="150" t="str">
        <f>IF(OR($B123="",$H123="-"),"",_xll.BDP($H123&amp;" Equity",K$8,"fill=b"))</f>
        <v/>
      </c>
      <c r="L123" s="258" t="str">
        <f>IF(OR($B123="",$H123="-"),"",_xll.BDP($H123&amp;" Equity",L$8,"fill=b"))</f>
        <v/>
      </c>
    </row>
    <row r="124" spans="2:12" x14ac:dyDescent="0.25">
      <c r="B124" s="182" t="str">
        <v/>
      </c>
      <c r="C124" s="150" t="str">
        <f>IF(B124="","",_xll.BDP($B124,C$8,"fill=b"))</f>
        <v/>
      </c>
      <c r="D124" s="150" t="str">
        <f>IF(B124="","",_xll.BDP($B124,D$8,"fill=b"))</f>
        <v/>
      </c>
      <c r="E124" s="150" t="str">
        <f>IF(C124="","",_xll.BDP($B124,E$8,"fill=b"))</f>
        <v/>
      </c>
      <c r="F124" s="150" t="str">
        <f>IF(B124="","",_xll.BDP($B124,F$8,"fill=b"))</f>
        <v/>
      </c>
      <c r="G124" s="150" t="str">
        <f>IF(B124="","",_xll.BDP($B124,G$8,"fill=b"))</f>
        <v/>
      </c>
      <c r="H124" s="150" t="str">
        <f>IF(B124="","",IF(LEFT(_xll.BDP($B124,H$8,"fill=b"),1)="#","-",_xll.BDP($B124,H$8,"fill=b")))</f>
        <v/>
      </c>
      <c r="I124" s="150" t="str">
        <f>IF(OR(B124="",TRIM(H124)="-"),"",_xll.BDP(H124&amp;" Equity",I$8,"fill=b"))</f>
        <v/>
      </c>
      <c r="J124" s="150" t="str">
        <f>IF(OR($B124="",$H124="-"),"",_xll.BDP($H124&amp;" Equity",J$8,"fill=b"))</f>
        <v/>
      </c>
      <c r="K124" s="150" t="str">
        <f>IF(OR($B124="",$H124="-"),"",_xll.BDP($H124&amp;" Equity",K$8,"fill=b"))</f>
        <v/>
      </c>
      <c r="L124" s="258" t="str">
        <f>IF(OR($B124="",$H124="-"),"",_xll.BDP($H124&amp;" Equity",L$8,"fill=b"))</f>
        <v/>
      </c>
    </row>
    <row r="125" spans="2:12" x14ac:dyDescent="0.25">
      <c r="B125" s="182" t="str">
        <v/>
      </c>
      <c r="C125" s="150" t="str">
        <f>IF(B125="","",_xll.BDP($B125,C$8,"fill=b"))</f>
        <v/>
      </c>
      <c r="D125" s="150" t="str">
        <f>IF(B125="","",_xll.BDP($B125,D$8,"fill=b"))</f>
        <v/>
      </c>
      <c r="E125" s="150" t="str">
        <f>IF(C125="","",_xll.BDP($B125,E$8,"fill=b"))</f>
        <v/>
      </c>
      <c r="F125" s="150" t="str">
        <f>IF(B125="","",_xll.BDP($B125,F$8,"fill=b"))</f>
        <v/>
      </c>
      <c r="G125" s="150" t="str">
        <f>IF(B125="","",_xll.BDP($B125,G$8,"fill=b"))</f>
        <v/>
      </c>
      <c r="H125" s="150" t="str">
        <f>IF(B125="","",IF(LEFT(_xll.BDP($B125,H$8,"fill=b"),1)="#","-",_xll.BDP($B125,H$8,"fill=b")))</f>
        <v/>
      </c>
      <c r="I125" s="150" t="str">
        <f>IF(OR(B125="",TRIM(H125)="-"),"",_xll.BDP(H125&amp;" Equity",I$8,"fill=b"))</f>
        <v/>
      </c>
      <c r="J125" s="150" t="str">
        <f>IF(OR($B125="",$H125="-"),"",_xll.BDP($H125&amp;" Equity",J$8,"fill=b"))</f>
        <v/>
      </c>
      <c r="K125" s="150" t="str">
        <f>IF(OR($B125="",$H125="-"),"",_xll.BDP($H125&amp;" Equity",K$8,"fill=b"))</f>
        <v/>
      </c>
      <c r="L125" s="258" t="str">
        <f>IF(OR($B125="",$H125="-"),"",_xll.BDP($H125&amp;" Equity",L$8,"fill=b"))</f>
        <v/>
      </c>
    </row>
    <row r="126" spans="2:12" x14ac:dyDescent="0.25">
      <c r="B126" s="182" t="str">
        <v/>
      </c>
      <c r="C126" s="150" t="str">
        <f>IF(B126="","",_xll.BDP($B126,C$8,"fill=b"))</f>
        <v/>
      </c>
      <c r="D126" s="150" t="str">
        <f>IF(B126="","",_xll.BDP($B126,D$8,"fill=b"))</f>
        <v/>
      </c>
      <c r="E126" s="150" t="str">
        <f>IF(C126="","",_xll.BDP($B126,E$8,"fill=b"))</f>
        <v/>
      </c>
      <c r="F126" s="150" t="str">
        <f>IF(B126="","",_xll.BDP($B126,F$8,"fill=b"))</f>
        <v/>
      </c>
      <c r="G126" s="150" t="str">
        <f>IF(B126="","",_xll.BDP($B126,G$8,"fill=b"))</f>
        <v/>
      </c>
      <c r="H126" s="150" t="str">
        <f>IF(B126="","",IF(LEFT(_xll.BDP($B126,H$8,"fill=b"),1)="#","-",_xll.BDP($B126,H$8,"fill=b")))</f>
        <v/>
      </c>
      <c r="I126" s="150" t="str">
        <f>IF(OR(B126="",TRIM(H126)="-"),"",_xll.BDP(H126&amp;" Equity",I$8,"fill=b"))</f>
        <v/>
      </c>
      <c r="J126" s="150" t="str">
        <f>IF(OR($B126="",$H126="-"),"",_xll.BDP($H126&amp;" Equity",J$8,"fill=b"))</f>
        <v/>
      </c>
      <c r="K126" s="150" t="str">
        <f>IF(OR($B126="",$H126="-"),"",_xll.BDP($H126&amp;" Equity",K$8,"fill=b"))</f>
        <v/>
      </c>
      <c r="L126" s="258" t="str">
        <f>IF(OR($B126="",$H126="-"),"",_xll.BDP($H126&amp;" Equity",L$8,"fill=b"))</f>
        <v/>
      </c>
    </row>
    <row r="127" spans="2:12" x14ac:dyDescent="0.25">
      <c r="B127" s="182" t="str">
        <v/>
      </c>
      <c r="C127" s="150" t="str">
        <f>IF(B127="","",_xll.BDP($B127,C$8,"fill=b"))</f>
        <v/>
      </c>
      <c r="D127" s="150" t="str">
        <f>IF(B127="","",_xll.BDP($B127,D$8,"fill=b"))</f>
        <v/>
      </c>
      <c r="E127" s="150" t="str">
        <f>IF(C127="","",_xll.BDP($B127,E$8,"fill=b"))</f>
        <v/>
      </c>
      <c r="F127" s="150" t="str">
        <f>IF(B127="","",_xll.BDP($B127,F$8,"fill=b"))</f>
        <v/>
      </c>
      <c r="G127" s="150" t="str">
        <f>IF(B127="","",_xll.BDP($B127,G$8,"fill=b"))</f>
        <v/>
      </c>
      <c r="H127" s="150" t="str">
        <f>IF(B127="","",IF(LEFT(_xll.BDP($B127,H$8,"fill=b"),1)="#","-",_xll.BDP($B127,H$8,"fill=b")))</f>
        <v/>
      </c>
      <c r="I127" s="150" t="str">
        <f>IF(OR(B127="",TRIM(H127)="-"),"",_xll.BDP(H127&amp;" Equity",I$8,"fill=b"))</f>
        <v/>
      </c>
      <c r="J127" s="150" t="str">
        <f>IF(OR($B127="",$H127="-"),"",_xll.BDP($H127&amp;" Equity",J$8,"fill=b"))</f>
        <v/>
      </c>
      <c r="K127" s="150" t="str">
        <f>IF(OR($B127="",$H127="-"),"",_xll.BDP($H127&amp;" Equity",K$8,"fill=b"))</f>
        <v/>
      </c>
      <c r="L127" s="258" t="str">
        <f>IF(OR($B127="",$H127="-"),"",_xll.BDP($H127&amp;" Equity",L$8,"fill=b"))</f>
        <v/>
      </c>
    </row>
    <row r="128" spans="2:12" x14ac:dyDescent="0.25">
      <c r="B128" s="182" t="str">
        <v/>
      </c>
      <c r="C128" s="150" t="str">
        <f>IF(B128="","",_xll.BDP($B128,C$8,"fill=b"))</f>
        <v/>
      </c>
      <c r="D128" s="150" t="str">
        <f>IF(B128="","",_xll.BDP($B128,D$8,"fill=b"))</f>
        <v/>
      </c>
      <c r="E128" s="150" t="str">
        <f>IF(C128="","",_xll.BDP($B128,E$8,"fill=b"))</f>
        <v/>
      </c>
      <c r="F128" s="150" t="str">
        <f>IF(B128="","",_xll.BDP($B128,F$8,"fill=b"))</f>
        <v/>
      </c>
      <c r="G128" s="150" t="str">
        <f>IF(B128="","",_xll.BDP($B128,G$8,"fill=b"))</f>
        <v/>
      </c>
      <c r="H128" s="150" t="str">
        <f>IF(B128="","",IF(LEFT(_xll.BDP($B128,H$8,"fill=b"),1)="#","-",_xll.BDP($B128,H$8,"fill=b")))</f>
        <v/>
      </c>
      <c r="I128" s="150" t="str">
        <f>IF(OR(B128="",TRIM(H128)="-"),"",_xll.BDP(H128&amp;" Equity",I$8,"fill=b"))</f>
        <v/>
      </c>
      <c r="J128" s="150" t="str">
        <f>IF(OR($B128="",$H128="-"),"",_xll.BDP($H128&amp;" Equity",J$8,"fill=b"))</f>
        <v/>
      </c>
      <c r="K128" s="150" t="str">
        <f>IF(OR($B128="",$H128="-"),"",_xll.BDP($H128&amp;" Equity",K$8,"fill=b"))</f>
        <v/>
      </c>
      <c r="L128" s="258" t="str">
        <f>IF(OR($B128="",$H128="-"),"",_xll.BDP($H128&amp;" Equity",L$8,"fill=b"))</f>
        <v/>
      </c>
    </row>
    <row r="129" spans="2:12" x14ac:dyDescent="0.25">
      <c r="B129" s="182" t="str">
        <v/>
      </c>
      <c r="C129" s="150" t="str">
        <f>IF(B129="","",_xll.BDP($B129,C$8,"fill=b"))</f>
        <v/>
      </c>
      <c r="D129" s="150" t="str">
        <f>IF(B129="","",_xll.BDP($B129,D$8,"fill=b"))</f>
        <v/>
      </c>
      <c r="E129" s="150" t="str">
        <f>IF(C129="","",_xll.BDP($B129,E$8,"fill=b"))</f>
        <v/>
      </c>
      <c r="F129" s="150" t="str">
        <f>IF(B129="","",_xll.BDP($B129,F$8,"fill=b"))</f>
        <v/>
      </c>
      <c r="G129" s="150" t="str">
        <f>IF(B129="","",_xll.BDP($B129,G$8,"fill=b"))</f>
        <v/>
      </c>
      <c r="H129" s="150" t="str">
        <f>IF(B129="","",IF(LEFT(_xll.BDP($B129,H$8,"fill=b"),1)="#","-",_xll.BDP($B129,H$8,"fill=b")))</f>
        <v/>
      </c>
      <c r="I129" s="150" t="str">
        <f>IF(OR(B129="",TRIM(H129)="-"),"",_xll.BDP(H129&amp;" Equity",I$8,"fill=b"))</f>
        <v/>
      </c>
      <c r="J129" s="150" t="str">
        <f>IF(OR($B129="",$H129="-"),"",_xll.BDP($H129&amp;" Equity",J$8,"fill=b"))</f>
        <v/>
      </c>
      <c r="K129" s="150" t="str">
        <f>IF(OR($B129="",$H129="-"),"",_xll.BDP($H129&amp;" Equity",K$8,"fill=b"))</f>
        <v/>
      </c>
      <c r="L129" s="258" t="str">
        <f>IF(OR($B129="",$H129="-"),"",_xll.BDP($H129&amp;" Equity",L$8,"fill=b"))</f>
        <v/>
      </c>
    </row>
    <row r="130" spans="2:12" x14ac:dyDescent="0.25">
      <c r="B130" s="182" t="str">
        <v/>
      </c>
      <c r="C130" s="150" t="str">
        <f>IF(B130="","",_xll.BDP($B130,C$8,"fill=b"))</f>
        <v/>
      </c>
      <c r="D130" s="150" t="str">
        <f>IF(B130="","",_xll.BDP($B130,D$8,"fill=b"))</f>
        <v/>
      </c>
      <c r="E130" s="150" t="str">
        <f>IF(C130="","",_xll.BDP($B130,E$8,"fill=b"))</f>
        <v/>
      </c>
      <c r="F130" s="150" t="str">
        <f>IF(B130="","",_xll.BDP($B130,F$8,"fill=b"))</f>
        <v/>
      </c>
      <c r="G130" s="150" t="str">
        <f>IF(B130="","",_xll.BDP($B130,G$8,"fill=b"))</f>
        <v/>
      </c>
      <c r="H130" s="150" t="str">
        <f>IF(B130="","",IF(LEFT(_xll.BDP($B130,H$8,"fill=b"),1)="#","-",_xll.BDP($B130,H$8,"fill=b")))</f>
        <v/>
      </c>
      <c r="I130" s="150" t="str">
        <f>IF(OR(B130="",TRIM(H130)="-"),"",_xll.BDP(H130&amp;" Equity",I$8,"fill=b"))</f>
        <v/>
      </c>
      <c r="J130" s="150" t="str">
        <f>IF(OR($B130="",$H130="-"),"",_xll.BDP($H130&amp;" Equity",J$8,"fill=b"))</f>
        <v/>
      </c>
      <c r="K130" s="150" t="str">
        <f>IF(OR($B130="",$H130="-"),"",_xll.BDP($H130&amp;" Equity",K$8,"fill=b"))</f>
        <v/>
      </c>
      <c r="L130" s="258" t="str">
        <f>IF(OR($B130="",$H130="-"),"",_xll.BDP($H130&amp;" Equity",L$8,"fill=b"))</f>
        <v/>
      </c>
    </row>
    <row r="131" spans="2:12" x14ac:dyDescent="0.25">
      <c r="B131" s="182" t="str">
        <v/>
      </c>
      <c r="C131" s="150" t="str">
        <f>IF(B131="","",_xll.BDP($B131,C$8,"fill=b"))</f>
        <v/>
      </c>
      <c r="D131" s="150" t="str">
        <f>IF(B131="","",_xll.BDP($B131,D$8,"fill=b"))</f>
        <v/>
      </c>
      <c r="E131" s="150" t="str">
        <f>IF(C131="","",_xll.BDP($B131,E$8,"fill=b"))</f>
        <v/>
      </c>
      <c r="F131" s="150" t="str">
        <f>IF(B131="","",_xll.BDP($B131,F$8,"fill=b"))</f>
        <v/>
      </c>
      <c r="G131" s="150" t="str">
        <f>IF(B131="","",_xll.BDP($B131,G$8,"fill=b"))</f>
        <v/>
      </c>
      <c r="H131" s="150" t="str">
        <f>IF(B131="","",IF(LEFT(_xll.BDP($B131,H$8,"fill=b"),1)="#","-",_xll.BDP($B131,H$8,"fill=b")))</f>
        <v/>
      </c>
      <c r="I131" s="150" t="str">
        <f>IF(OR(B131="",TRIM(H131)="-"),"",_xll.BDP(H131&amp;" Equity",I$8,"fill=b"))</f>
        <v/>
      </c>
      <c r="J131" s="150" t="str">
        <f>IF(OR($B131="",$H131="-"),"",_xll.BDP($H131&amp;" Equity",J$8,"fill=b"))</f>
        <v/>
      </c>
      <c r="K131" s="150" t="str">
        <f>IF(OR($B131="",$H131="-"),"",_xll.BDP($H131&amp;" Equity",K$8,"fill=b"))</f>
        <v/>
      </c>
      <c r="L131" s="258" t="str">
        <f>IF(OR($B131="",$H131="-"),"",_xll.BDP($H131&amp;" Equity",L$8,"fill=b"))</f>
        <v/>
      </c>
    </row>
    <row r="132" spans="2:12" x14ac:dyDescent="0.25">
      <c r="B132" s="182" t="str">
        <v/>
      </c>
      <c r="C132" s="150" t="str">
        <f>IF(B132="","",_xll.BDP($B132,C$8,"fill=b"))</f>
        <v/>
      </c>
      <c r="D132" s="150" t="str">
        <f>IF(B132="","",_xll.BDP($B132,D$8,"fill=b"))</f>
        <v/>
      </c>
      <c r="E132" s="150" t="str">
        <f>IF(C132="","",_xll.BDP($B132,E$8,"fill=b"))</f>
        <v/>
      </c>
      <c r="F132" s="150" t="str">
        <f>IF(B132="","",_xll.BDP($B132,F$8,"fill=b"))</f>
        <v/>
      </c>
      <c r="G132" s="150" t="str">
        <f>IF(B132="","",_xll.BDP($B132,G$8,"fill=b"))</f>
        <v/>
      </c>
      <c r="H132" s="150" t="str">
        <f>IF(B132="","",IF(LEFT(_xll.BDP($B132,H$8,"fill=b"),1)="#","-",_xll.BDP($B132,H$8,"fill=b")))</f>
        <v/>
      </c>
      <c r="I132" s="150" t="str">
        <f>IF(OR(B132="",TRIM(H132)="-"),"",_xll.BDP(H132&amp;" Equity",I$8,"fill=b"))</f>
        <v/>
      </c>
      <c r="J132" s="150" t="str">
        <f>IF(OR($B132="",$H132="-"),"",_xll.BDP($H132&amp;" Equity",J$8,"fill=b"))</f>
        <v/>
      </c>
      <c r="K132" s="150" t="str">
        <f>IF(OR($B132="",$H132="-"),"",_xll.BDP($H132&amp;" Equity",K$8,"fill=b"))</f>
        <v/>
      </c>
      <c r="L132" s="258" t="str">
        <f>IF(OR($B132="",$H132="-"),"",_xll.BDP($H132&amp;" Equity",L$8,"fill=b"))</f>
        <v/>
      </c>
    </row>
    <row r="133" spans="2:12" x14ac:dyDescent="0.25">
      <c r="B133" s="182" t="str">
        <v/>
      </c>
      <c r="C133" s="150" t="str">
        <f>IF(B133="","",_xll.BDP($B133,C$8,"fill=b"))</f>
        <v/>
      </c>
      <c r="D133" s="150" t="str">
        <f>IF(B133="","",_xll.BDP($B133,D$8,"fill=b"))</f>
        <v/>
      </c>
      <c r="E133" s="150" t="str">
        <f>IF(C133="","",_xll.BDP($B133,E$8,"fill=b"))</f>
        <v/>
      </c>
      <c r="F133" s="150" t="str">
        <f>IF(B133="","",_xll.BDP($B133,F$8,"fill=b"))</f>
        <v/>
      </c>
      <c r="G133" s="150" t="str">
        <f>IF(B133="","",_xll.BDP($B133,G$8,"fill=b"))</f>
        <v/>
      </c>
      <c r="H133" s="150" t="str">
        <f>IF(B133="","",IF(LEFT(_xll.BDP($B133,H$8,"fill=b"),1)="#","-",_xll.BDP($B133,H$8,"fill=b")))</f>
        <v/>
      </c>
      <c r="I133" s="150" t="str">
        <f>IF(OR(B133="",TRIM(H133)="-"),"",_xll.BDP(H133&amp;" Equity",I$8,"fill=b"))</f>
        <v/>
      </c>
      <c r="J133" s="150" t="str">
        <f>IF(OR($B133="",$H133="-"),"",_xll.BDP($H133&amp;" Equity",J$8,"fill=b"))</f>
        <v/>
      </c>
      <c r="K133" s="150" t="str">
        <f>IF(OR($B133="",$H133="-"),"",_xll.BDP($H133&amp;" Equity",K$8,"fill=b"))</f>
        <v/>
      </c>
      <c r="L133" s="258" t="str">
        <f>IF(OR($B133="",$H133="-"),"",_xll.BDP($H133&amp;" Equity",L$8,"fill=b"))</f>
        <v/>
      </c>
    </row>
    <row r="134" spans="2:12" x14ac:dyDescent="0.25">
      <c r="B134" s="182" t="str">
        <v/>
      </c>
      <c r="C134" s="150" t="str">
        <f>IF(B134="","",_xll.BDP($B134,C$8,"fill=b"))</f>
        <v/>
      </c>
      <c r="D134" s="150" t="str">
        <f>IF(B134="","",_xll.BDP($B134,D$8,"fill=b"))</f>
        <v/>
      </c>
      <c r="E134" s="150" t="str">
        <f>IF(C134="","",_xll.BDP($B134,E$8,"fill=b"))</f>
        <v/>
      </c>
      <c r="F134" s="150" t="str">
        <f>IF(B134="","",_xll.BDP($B134,F$8,"fill=b"))</f>
        <v/>
      </c>
      <c r="G134" s="150" t="str">
        <f>IF(B134="","",_xll.BDP($B134,G$8,"fill=b"))</f>
        <v/>
      </c>
      <c r="H134" s="150" t="str">
        <f>IF(B134="","",IF(LEFT(_xll.BDP($B134,H$8,"fill=b"),1)="#","-",_xll.BDP($B134,H$8,"fill=b")))</f>
        <v/>
      </c>
      <c r="I134" s="150" t="str">
        <f>IF(OR(B134="",TRIM(H134)="-"),"",_xll.BDP(H134&amp;" Equity",I$8,"fill=b"))</f>
        <v/>
      </c>
      <c r="J134" s="150" t="str">
        <f>IF(OR($B134="",$H134="-"),"",_xll.BDP($H134&amp;" Equity",J$8,"fill=b"))</f>
        <v/>
      </c>
      <c r="K134" s="150" t="str">
        <f>IF(OR($B134="",$H134="-"),"",_xll.BDP($H134&amp;" Equity",K$8,"fill=b"))</f>
        <v/>
      </c>
      <c r="L134" s="258" t="str">
        <f>IF(OR($B134="",$H134="-"),"",_xll.BDP($H134&amp;" Equity",L$8,"fill=b"))</f>
        <v/>
      </c>
    </row>
    <row r="135" spans="2:12" x14ac:dyDescent="0.25">
      <c r="B135" s="182" t="str">
        <v/>
      </c>
      <c r="C135" s="150" t="str">
        <f>IF(B135="","",_xll.BDP($B135,C$8,"fill=b"))</f>
        <v/>
      </c>
      <c r="D135" s="150" t="str">
        <f>IF(B135="","",_xll.BDP($B135,D$8,"fill=b"))</f>
        <v/>
      </c>
      <c r="E135" s="150" t="str">
        <f>IF(C135="","",_xll.BDP($B135,E$8,"fill=b"))</f>
        <v/>
      </c>
      <c r="F135" s="150" t="str">
        <f>IF(B135="","",_xll.BDP($B135,F$8,"fill=b"))</f>
        <v/>
      </c>
      <c r="G135" s="150" t="str">
        <f>IF(B135="","",_xll.BDP($B135,G$8,"fill=b"))</f>
        <v/>
      </c>
      <c r="H135" s="150" t="str">
        <f>IF(B135="","",IF(LEFT(_xll.BDP($B135,H$8,"fill=b"),1)="#","-",_xll.BDP($B135,H$8,"fill=b")))</f>
        <v/>
      </c>
      <c r="I135" s="150" t="str">
        <f>IF(OR(B135="",TRIM(H135)="-"),"",_xll.BDP(H135&amp;" Equity",I$8,"fill=b"))</f>
        <v/>
      </c>
      <c r="J135" s="150" t="str">
        <f>IF(OR($B135="",$H135="-"),"",_xll.BDP($H135&amp;" Equity",J$8,"fill=b"))</f>
        <v/>
      </c>
      <c r="K135" s="150" t="str">
        <f>IF(OR($B135="",$H135="-"),"",_xll.BDP($H135&amp;" Equity",K$8,"fill=b"))</f>
        <v/>
      </c>
      <c r="L135" s="258" t="str">
        <f>IF(OR($B135="",$H135="-"),"",_xll.BDP($H135&amp;" Equity",L$8,"fill=b"))</f>
        <v/>
      </c>
    </row>
    <row r="136" spans="2:12" x14ac:dyDescent="0.25">
      <c r="B136" s="182" t="str">
        <v/>
      </c>
      <c r="C136" s="150" t="str">
        <f>IF(B136="","",_xll.BDP($B136,C$8,"fill=b"))</f>
        <v/>
      </c>
      <c r="D136" s="150" t="str">
        <f>IF(B136="","",_xll.BDP($B136,D$8,"fill=b"))</f>
        <v/>
      </c>
      <c r="E136" s="150" t="str">
        <f>IF(C136="","",_xll.BDP($B136,E$8,"fill=b"))</f>
        <v/>
      </c>
      <c r="F136" s="150" t="str">
        <f>IF(B136="","",_xll.BDP($B136,F$8,"fill=b"))</f>
        <v/>
      </c>
      <c r="G136" s="150" t="str">
        <f>IF(B136="","",_xll.BDP($B136,G$8,"fill=b"))</f>
        <v/>
      </c>
      <c r="H136" s="150" t="str">
        <f>IF(B136="","",IF(LEFT(_xll.BDP($B136,H$8,"fill=b"),1)="#","-",_xll.BDP($B136,H$8,"fill=b")))</f>
        <v/>
      </c>
      <c r="I136" s="150" t="str">
        <f>IF(OR(B136="",TRIM(H136)="-"),"",_xll.BDP(H136&amp;" Equity",I$8,"fill=b"))</f>
        <v/>
      </c>
      <c r="J136" s="150" t="str">
        <f>IF(OR($B136="",$H136="-"),"",_xll.BDP($H136&amp;" Equity",J$8,"fill=b"))</f>
        <v/>
      </c>
      <c r="K136" s="150" t="str">
        <f>IF(OR($B136="",$H136="-"),"",_xll.BDP($H136&amp;" Equity",K$8,"fill=b"))</f>
        <v/>
      </c>
      <c r="L136" s="258" t="str">
        <f>IF(OR($B136="",$H136="-"),"",_xll.BDP($H136&amp;" Equity",L$8,"fill=b"))</f>
        <v/>
      </c>
    </row>
    <row r="137" spans="2:12" x14ac:dyDescent="0.25">
      <c r="B137" s="182" t="str">
        <v/>
      </c>
      <c r="C137" s="150" t="str">
        <f>IF(B137="","",_xll.BDP($B137,C$8,"fill=b"))</f>
        <v/>
      </c>
      <c r="D137" s="150" t="str">
        <f>IF(B137="","",_xll.BDP($B137,D$8,"fill=b"))</f>
        <v/>
      </c>
      <c r="E137" s="150" t="str">
        <f>IF(C137="","",_xll.BDP($B137,E$8,"fill=b"))</f>
        <v/>
      </c>
      <c r="F137" s="150" t="str">
        <f>IF(B137="","",_xll.BDP($B137,F$8,"fill=b"))</f>
        <v/>
      </c>
      <c r="G137" s="150" t="str">
        <f>IF(B137="","",_xll.BDP($B137,G$8,"fill=b"))</f>
        <v/>
      </c>
      <c r="H137" s="150" t="str">
        <f>IF(B137="","",IF(LEFT(_xll.BDP($B137,H$8,"fill=b"),1)="#","-",_xll.BDP($B137,H$8,"fill=b")))</f>
        <v/>
      </c>
      <c r="I137" s="150" t="str">
        <f>IF(OR(B137="",TRIM(H137)="-"),"",_xll.BDP(H137&amp;" Equity",I$8,"fill=b"))</f>
        <v/>
      </c>
      <c r="J137" s="150" t="str">
        <f>IF(OR($B137="",$H137="-"),"",_xll.BDP($H137&amp;" Equity",J$8,"fill=b"))</f>
        <v/>
      </c>
      <c r="K137" s="150" t="str">
        <f>IF(OR($B137="",$H137="-"),"",_xll.BDP($H137&amp;" Equity",K$8,"fill=b"))</f>
        <v/>
      </c>
      <c r="L137" s="258" t="str">
        <f>IF(OR($B137="",$H137="-"),"",_xll.BDP($H137&amp;" Equity",L$8,"fill=b"))</f>
        <v/>
      </c>
    </row>
    <row r="138" spans="2:12" x14ac:dyDescent="0.25">
      <c r="B138" s="182" t="str">
        <v/>
      </c>
      <c r="C138" s="150" t="str">
        <f>IF(B138="","",_xll.BDP($B138,C$8,"fill=b"))</f>
        <v/>
      </c>
      <c r="D138" s="150" t="str">
        <f>IF(B138="","",_xll.BDP($B138,D$8,"fill=b"))</f>
        <v/>
      </c>
      <c r="E138" s="150" t="str">
        <f>IF(C138="","",_xll.BDP($B138,E$8,"fill=b"))</f>
        <v/>
      </c>
      <c r="F138" s="150" t="str">
        <f>IF(B138="","",_xll.BDP($B138,F$8,"fill=b"))</f>
        <v/>
      </c>
      <c r="G138" s="150" t="str">
        <f>IF(B138="","",_xll.BDP($B138,G$8,"fill=b"))</f>
        <v/>
      </c>
      <c r="H138" s="150" t="str">
        <f>IF(B138="","",IF(LEFT(_xll.BDP($B138,H$8,"fill=b"),1)="#","-",_xll.BDP($B138,H$8,"fill=b")))</f>
        <v/>
      </c>
      <c r="I138" s="150" t="str">
        <f>IF(OR(B138="",TRIM(H138)="-"),"",_xll.BDP(H138&amp;" Equity",I$8,"fill=b"))</f>
        <v/>
      </c>
      <c r="J138" s="150" t="str">
        <f>IF(OR($B138="",$H138="-"),"",_xll.BDP($H138&amp;" Equity",J$8,"fill=b"))</f>
        <v/>
      </c>
      <c r="K138" s="150" t="str">
        <f>IF(OR($B138="",$H138="-"),"",_xll.BDP($H138&amp;" Equity",K$8,"fill=b"))</f>
        <v/>
      </c>
      <c r="L138" s="258" t="str">
        <f>IF(OR($B138="",$H138="-"),"",_xll.BDP($H138&amp;" Equity",L$8,"fill=b"))</f>
        <v/>
      </c>
    </row>
    <row r="139" spans="2:12" x14ac:dyDescent="0.25">
      <c r="B139" s="182" t="str">
        <v/>
      </c>
      <c r="C139" s="150" t="str">
        <f>IF(B139="","",_xll.BDP($B139,C$8,"fill=b"))</f>
        <v/>
      </c>
      <c r="D139" s="150" t="str">
        <f>IF(B139="","",_xll.BDP($B139,D$8,"fill=b"))</f>
        <v/>
      </c>
      <c r="E139" s="150" t="str">
        <f>IF(C139="","",_xll.BDP($B139,E$8,"fill=b"))</f>
        <v/>
      </c>
      <c r="F139" s="150" t="str">
        <f>IF(B139="","",_xll.BDP($B139,F$8,"fill=b"))</f>
        <v/>
      </c>
      <c r="G139" s="150" t="str">
        <f>IF(B139="","",_xll.BDP($B139,G$8,"fill=b"))</f>
        <v/>
      </c>
      <c r="H139" s="150" t="str">
        <f>IF(B139="","",IF(LEFT(_xll.BDP($B139,H$8,"fill=b"),1)="#","-",_xll.BDP($B139,H$8,"fill=b")))</f>
        <v/>
      </c>
      <c r="I139" s="150" t="str">
        <f>IF(OR(B139="",TRIM(H139)="-"),"",_xll.BDP(H139&amp;" Equity",I$8,"fill=b"))</f>
        <v/>
      </c>
      <c r="J139" s="150" t="str">
        <f>IF(OR($B139="",$H139="-"),"",_xll.BDP($H139&amp;" Equity",J$8,"fill=b"))</f>
        <v/>
      </c>
      <c r="K139" s="150" t="str">
        <f>IF(OR($B139="",$H139="-"),"",_xll.BDP($H139&amp;" Equity",K$8,"fill=b"))</f>
        <v/>
      </c>
      <c r="L139" s="258" t="str">
        <f>IF(OR($B139="",$H139="-"),"",_xll.BDP($H139&amp;" Equity",L$8,"fill=b"))</f>
        <v/>
      </c>
    </row>
    <row r="140" spans="2:12" x14ac:dyDescent="0.25">
      <c r="B140" s="182" t="str">
        <v/>
      </c>
      <c r="C140" s="150" t="str">
        <f>IF(B140="","",_xll.BDP($B140,C$8,"fill=b"))</f>
        <v/>
      </c>
      <c r="D140" s="150" t="str">
        <f>IF(B140="","",_xll.BDP($B140,D$8,"fill=b"))</f>
        <v/>
      </c>
      <c r="E140" s="150" t="str">
        <f>IF(C140="","",_xll.BDP($B140,E$8,"fill=b"))</f>
        <v/>
      </c>
      <c r="F140" s="150" t="str">
        <f>IF(B140="","",_xll.BDP($B140,F$8,"fill=b"))</f>
        <v/>
      </c>
      <c r="G140" s="150" t="str">
        <f>IF(B140="","",_xll.BDP($B140,G$8,"fill=b"))</f>
        <v/>
      </c>
      <c r="H140" s="150" t="str">
        <f>IF(B140="","",IF(LEFT(_xll.BDP($B140,H$8,"fill=b"),1)="#","-",_xll.BDP($B140,H$8,"fill=b")))</f>
        <v/>
      </c>
      <c r="I140" s="150" t="str">
        <f>IF(OR(B140="",TRIM(H140)="-"),"",_xll.BDP(H140&amp;" Equity",I$8,"fill=b"))</f>
        <v/>
      </c>
      <c r="J140" s="150" t="str">
        <f>IF(OR($B140="",$H140="-"),"",_xll.BDP($H140&amp;" Equity",J$8,"fill=b"))</f>
        <v/>
      </c>
      <c r="K140" s="150" t="str">
        <f>IF(OR($B140="",$H140="-"),"",_xll.BDP($H140&amp;" Equity",K$8,"fill=b"))</f>
        <v/>
      </c>
      <c r="L140" s="258" t="str">
        <f>IF(OR($B140="",$H140="-"),"",_xll.BDP($H140&amp;" Equity",L$8,"fill=b"))</f>
        <v/>
      </c>
    </row>
    <row r="141" spans="2:12" x14ac:dyDescent="0.25">
      <c r="B141" s="182" t="str">
        <v/>
      </c>
      <c r="C141" s="150" t="str">
        <f>IF(B141="","",_xll.BDP($B141,C$8,"fill=b"))</f>
        <v/>
      </c>
      <c r="D141" s="150" t="str">
        <f>IF(B141="","",_xll.BDP($B141,D$8,"fill=b"))</f>
        <v/>
      </c>
      <c r="E141" s="150" t="str">
        <f>IF(C141="","",_xll.BDP($B141,E$8,"fill=b"))</f>
        <v/>
      </c>
      <c r="F141" s="150" t="str">
        <f>IF(B141="","",_xll.BDP($B141,F$8,"fill=b"))</f>
        <v/>
      </c>
      <c r="G141" s="150" t="str">
        <f>IF(B141="","",_xll.BDP($B141,G$8,"fill=b"))</f>
        <v/>
      </c>
      <c r="H141" s="150" t="str">
        <f>IF(B141="","",IF(LEFT(_xll.BDP($B141,H$8,"fill=b"),1)="#","-",_xll.BDP($B141,H$8,"fill=b")))</f>
        <v/>
      </c>
      <c r="I141" s="150" t="str">
        <f>IF(OR(B141="",TRIM(H141)="-"),"",_xll.BDP(H141&amp;" Equity",I$8,"fill=b"))</f>
        <v/>
      </c>
      <c r="J141" s="150" t="str">
        <f>IF(OR($B141="",$H141="-"),"",_xll.BDP($H141&amp;" Equity",J$8,"fill=b"))</f>
        <v/>
      </c>
      <c r="K141" s="150" t="str">
        <f>IF(OR($B141="",$H141="-"),"",_xll.BDP($H141&amp;" Equity",K$8,"fill=b"))</f>
        <v/>
      </c>
      <c r="L141" s="258" t="str">
        <f>IF(OR($B141="",$H141="-"),"",_xll.BDP($H141&amp;" Equity",L$8,"fill=b"))</f>
        <v/>
      </c>
    </row>
    <row r="142" spans="2:12" x14ac:dyDescent="0.25">
      <c r="B142" s="182" t="str">
        <v/>
      </c>
      <c r="C142" s="150" t="str">
        <f>IF(B142="","",_xll.BDP($B142,C$8,"fill=b"))</f>
        <v/>
      </c>
      <c r="D142" s="150" t="str">
        <f>IF(B142="","",_xll.BDP($B142,D$8,"fill=b"))</f>
        <v/>
      </c>
      <c r="E142" s="150" t="str">
        <f>IF(C142="","",_xll.BDP($B142,E$8,"fill=b"))</f>
        <v/>
      </c>
      <c r="F142" s="150" t="str">
        <f>IF(B142="","",_xll.BDP($B142,F$8,"fill=b"))</f>
        <v/>
      </c>
      <c r="G142" s="150" t="str">
        <f>IF(B142="","",_xll.BDP($B142,G$8,"fill=b"))</f>
        <v/>
      </c>
      <c r="H142" s="150" t="str">
        <f>IF(B142="","",IF(LEFT(_xll.BDP($B142,H$8,"fill=b"),1)="#","-",_xll.BDP($B142,H$8,"fill=b")))</f>
        <v/>
      </c>
      <c r="I142" s="150" t="str">
        <f>IF(OR(B142="",TRIM(H142)="-"),"",_xll.BDP(H142&amp;" Equity",I$8,"fill=b"))</f>
        <v/>
      </c>
      <c r="J142" s="150" t="str">
        <f>IF(OR($B142="",$H142="-"),"",_xll.BDP($H142&amp;" Equity",J$8,"fill=b"))</f>
        <v/>
      </c>
      <c r="K142" s="150" t="str">
        <f>IF(OR($B142="",$H142="-"),"",_xll.BDP($H142&amp;" Equity",K$8,"fill=b"))</f>
        <v/>
      </c>
      <c r="L142" s="258" t="str">
        <f>IF(OR($B142="",$H142="-"),"",_xll.BDP($H142&amp;" Equity",L$8,"fill=b"))</f>
        <v/>
      </c>
    </row>
    <row r="143" spans="2:12" x14ac:dyDescent="0.25">
      <c r="B143" s="182" t="str">
        <v/>
      </c>
      <c r="C143" s="150" t="str">
        <f>IF(B143="","",_xll.BDP($B143,C$8,"fill=b"))</f>
        <v/>
      </c>
      <c r="D143" s="150" t="str">
        <f>IF(B143="","",_xll.BDP($B143,D$8,"fill=b"))</f>
        <v/>
      </c>
      <c r="E143" s="150" t="str">
        <f>IF(C143="","",_xll.BDP($B143,E$8,"fill=b"))</f>
        <v/>
      </c>
      <c r="F143" s="150" t="str">
        <f>IF(B143="","",_xll.BDP($B143,F$8,"fill=b"))</f>
        <v/>
      </c>
      <c r="G143" s="150" t="str">
        <f>IF(B143="","",_xll.BDP($B143,G$8,"fill=b"))</f>
        <v/>
      </c>
      <c r="H143" s="150" t="str">
        <f>IF(B143="","",IF(LEFT(_xll.BDP($B143,H$8,"fill=b"),1)="#","-",_xll.BDP($B143,H$8,"fill=b")))</f>
        <v/>
      </c>
      <c r="I143" s="150" t="str">
        <f>IF(OR(B143="",TRIM(H143)="-"),"",_xll.BDP(H143&amp;" Equity",I$8,"fill=b"))</f>
        <v/>
      </c>
      <c r="J143" s="150" t="str">
        <f>IF(OR($B143="",$H143="-"),"",_xll.BDP($H143&amp;" Equity",J$8,"fill=b"))</f>
        <v/>
      </c>
      <c r="K143" s="150" t="str">
        <f>IF(OR($B143="",$H143="-"),"",_xll.BDP($H143&amp;" Equity",K$8,"fill=b"))</f>
        <v/>
      </c>
      <c r="L143" s="258" t="str">
        <f>IF(OR($B143="",$H143="-"),"",_xll.BDP($H143&amp;" Equity",L$8,"fill=b"))</f>
        <v/>
      </c>
    </row>
    <row r="144" spans="2:12" x14ac:dyDescent="0.25">
      <c r="B144" s="182" t="str">
        <v/>
      </c>
      <c r="C144" s="150" t="str">
        <f>IF(B144="","",_xll.BDP($B144,C$8,"fill=b"))</f>
        <v/>
      </c>
      <c r="D144" s="150" t="str">
        <f>IF(B144="","",_xll.BDP($B144,D$8,"fill=b"))</f>
        <v/>
      </c>
      <c r="E144" s="150" t="str">
        <f>IF(C144="","",_xll.BDP($B144,E$8,"fill=b"))</f>
        <v/>
      </c>
      <c r="F144" s="150" t="str">
        <f>IF(B144="","",_xll.BDP($B144,F$8,"fill=b"))</f>
        <v/>
      </c>
      <c r="G144" s="150" t="str">
        <f>IF(B144="","",_xll.BDP($B144,G$8,"fill=b"))</f>
        <v/>
      </c>
      <c r="H144" s="150" t="str">
        <f>IF(B144="","",IF(LEFT(_xll.BDP($B144,H$8,"fill=b"),1)="#","-",_xll.BDP($B144,H$8,"fill=b")))</f>
        <v/>
      </c>
      <c r="I144" s="150" t="str">
        <f>IF(OR(B144="",TRIM(H144)="-"),"",_xll.BDP(H144&amp;" Equity",I$8,"fill=b"))</f>
        <v/>
      </c>
      <c r="J144" s="150" t="str">
        <f>IF(OR($B144="",$H144="-"),"",_xll.BDP($H144&amp;" Equity",J$8,"fill=b"))</f>
        <v/>
      </c>
      <c r="K144" s="150" t="str">
        <f>IF(OR($B144="",$H144="-"),"",_xll.BDP($H144&amp;" Equity",K$8,"fill=b"))</f>
        <v/>
      </c>
      <c r="L144" s="258" t="str">
        <f>IF(OR($B144="",$H144="-"),"",_xll.BDP($H144&amp;" Equity",L$8,"fill=b"))</f>
        <v/>
      </c>
    </row>
    <row r="145" spans="2:12" x14ac:dyDescent="0.25">
      <c r="B145" s="182" t="str">
        <v/>
      </c>
      <c r="C145" s="150" t="str">
        <f>IF(B145="","",_xll.BDP($B145,C$8,"fill=b"))</f>
        <v/>
      </c>
      <c r="D145" s="150" t="str">
        <f>IF(B145="","",_xll.BDP($B145,D$8,"fill=b"))</f>
        <v/>
      </c>
      <c r="E145" s="150" t="str">
        <f>IF(C145="","",_xll.BDP($B145,E$8,"fill=b"))</f>
        <v/>
      </c>
      <c r="F145" s="150" t="str">
        <f>IF(B145="","",_xll.BDP($B145,F$8,"fill=b"))</f>
        <v/>
      </c>
      <c r="G145" s="150" t="str">
        <f>IF(B145="","",_xll.BDP($B145,G$8,"fill=b"))</f>
        <v/>
      </c>
      <c r="H145" s="150" t="str">
        <f>IF(B145="","",IF(LEFT(_xll.BDP($B145,H$8,"fill=b"),1)="#","-",_xll.BDP($B145,H$8,"fill=b")))</f>
        <v/>
      </c>
      <c r="I145" s="150" t="str">
        <f>IF(OR(B145="",TRIM(H145)="-"),"",_xll.BDP(H145&amp;" Equity",I$8,"fill=b"))</f>
        <v/>
      </c>
      <c r="J145" s="150" t="str">
        <f>IF(OR($B145="",$H145="-"),"",_xll.BDP($H145&amp;" Equity",J$8,"fill=b"))</f>
        <v/>
      </c>
      <c r="K145" s="150" t="str">
        <f>IF(OR($B145="",$H145="-"),"",_xll.BDP($H145&amp;" Equity",K$8,"fill=b"))</f>
        <v/>
      </c>
      <c r="L145" s="258" t="str">
        <f>IF(OR($B145="",$H145="-"),"",_xll.BDP($H145&amp;" Equity",L$8,"fill=b"))</f>
        <v/>
      </c>
    </row>
    <row r="146" spans="2:12" x14ac:dyDescent="0.25">
      <c r="B146" s="182" t="str">
        <v/>
      </c>
      <c r="C146" s="150" t="str">
        <f>IF(B146="","",_xll.BDP($B146,C$8,"fill=b"))</f>
        <v/>
      </c>
      <c r="D146" s="150" t="str">
        <f>IF(B146="","",_xll.BDP($B146,D$8,"fill=b"))</f>
        <v/>
      </c>
      <c r="E146" s="150" t="str">
        <f>IF(C146="","",_xll.BDP($B146,E$8,"fill=b"))</f>
        <v/>
      </c>
      <c r="F146" s="150" t="str">
        <f>IF(B146="","",_xll.BDP($B146,F$8,"fill=b"))</f>
        <v/>
      </c>
      <c r="G146" s="150" t="str">
        <f>IF(B146="","",_xll.BDP($B146,G$8,"fill=b"))</f>
        <v/>
      </c>
      <c r="H146" s="150" t="str">
        <f>IF(B146="","",IF(LEFT(_xll.BDP($B146,H$8,"fill=b"),1)="#","-",_xll.BDP($B146,H$8,"fill=b")))</f>
        <v/>
      </c>
      <c r="I146" s="150" t="str">
        <f>IF(OR(B146="",TRIM(H146)="-"),"",_xll.BDP(H146&amp;" Equity",I$8,"fill=b"))</f>
        <v/>
      </c>
      <c r="J146" s="150" t="str">
        <f>IF(OR($B146="",$H146="-"),"",_xll.BDP($H146&amp;" Equity",J$8,"fill=b"))</f>
        <v/>
      </c>
      <c r="K146" s="150" t="str">
        <f>IF(OR($B146="",$H146="-"),"",_xll.BDP($H146&amp;" Equity",K$8,"fill=b"))</f>
        <v/>
      </c>
      <c r="L146" s="258" t="str">
        <f>IF(OR($B146="",$H146="-"),"",_xll.BDP($H146&amp;" Equity",L$8,"fill=b"))</f>
        <v/>
      </c>
    </row>
    <row r="147" spans="2:12" x14ac:dyDescent="0.25">
      <c r="B147" s="182" t="str">
        <v/>
      </c>
      <c r="C147" s="150" t="str">
        <f>IF(B147="","",_xll.BDP($B147,C$8,"fill=b"))</f>
        <v/>
      </c>
      <c r="D147" s="150" t="str">
        <f>IF(B147="","",_xll.BDP($B147,D$8,"fill=b"))</f>
        <v/>
      </c>
      <c r="E147" s="150" t="str">
        <f>IF(C147="","",_xll.BDP($B147,E$8,"fill=b"))</f>
        <v/>
      </c>
      <c r="F147" s="150" t="str">
        <f>IF(B147="","",_xll.BDP($B147,F$8,"fill=b"))</f>
        <v/>
      </c>
      <c r="G147" s="150" t="str">
        <f>IF(B147="","",_xll.BDP($B147,G$8,"fill=b"))</f>
        <v/>
      </c>
      <c r="H147" s="150" t="str">
        <f>IF(B147="","",IF(LEFT(_xll.BDP($B147,H$8,"fill=b"),1)="#","-",_xll.BDP($B147,H$8,"fill=b")))</f>
        <v/>
      </c>
      <c r="I147" s="150" t="str">
        <f>IF(OR(B147="",TRIM(H147)="-"),"",_xll.BDP(H147&amp;" Equity",I$8,"fill=b"))</f>
        <v/>
      </c>
      <c r="J147" s="150" t="str">
        <f>IF(OR($B147="",$H147="-"),"",_xll.BDP($H147&amp;" Equity",J$8,"fill=b"))</f>
        <v/>
      </c>
      <c r="K147" s="150" t="str">
        <f>IF(OR($B147="",$H147="-"),"",_xll.BDP($H147&amp;" Equity",K$8,"fill=b"))</f>
        <v/>
      </c>
      <c r="L147" s="258" t="str">
        <f>IF(OR($B147="",$H147="-"),"",_xll.BDP($H147&amp;" Equity",L$8,"fill=b"))</f>
        <v/>
      </c>
    </row>
    <row r="148" spans="2:12" x14ac:dyDescent="0.25">
      <c r="B148" s="182" t="str">
        <v/>
      </c>
      <c r="C148" s="150" t="str">
        <f>IF(B148="","",_xll.BDP($B148,C$8,"fill=b"))</f>
        <v/>
      </c>
      <c r="D148" s="150" t="str">
        <f>IF(B148="","",_xll.BDP($B148,D$8,"fill=b"))</f>
        <v/>
      </c>
      <c r="E148" s="150" t="str">
        <f>IF(C148="","",_xll.BDP($B148,E$8,"fill=b"))</f>
        <v/>
      </c>
      <c r="F148" s="150" t="str">
        <f>IF(B148="","",_xll.BDP($B148,F$8,"fill=b"))</f>
        <v/>
      </c>
      <c r="G148" s="150" t="str">
        <f>IF(B148="","",_xll.BDP($B148,G$8,"fill=b"))</f>
        <v/>
      </c>
      <c r="H148" s="150" t="str">
        <f>IF(B148="","",IF(LEFT(_xll.BDP($B148,H$8,"fill=b"),1)="#","-",_xll.BDP($B148,H$8,"fill=b")))</f>
        <v/>
      </c>
      <c r="I148" s="150" t="str">
        <f>IF(OR(B148="",TRIM(H148)="-"),"",_xll.BDP(H148&amp;" Equity",I$8,"fill=b"))</f>
        <v/>
      </c>
      <c r="J148" s="150" t="str">
        <f>IF(OR($B148="",$H148="-"),"",_xll.BDP($H148&amp;" Equity",J$8,"fill=b"))</f>
        <v/>
      </c>
      <c r="K148" s="150" t="str">
        <f>IF(OR($B148="",$H148="-"),"",_xll.BDP($H148&amp;" Equity",K$8,"fill=b"))</f>
        <v/>
      </c>
      <c r="L148" s="258" t="str">
        <f>IF(OR($B148="",$H148="-"),"",_xll.BDP($H148&amp;" Equity",L$8,"fill=b"))</f>
        <v/>
      </c>
    </row>
    <row r="149" spans="2:12" x14ac:dyDescent="0.25">
      <c r="B149" s="182" t="str">
        <v/>
      </c>
      <c r="C149" s="150" t="str">
        <f>IF(B149="","",_xll.BDP($B149,C$8,"fill=b"))</f>
        <v/>
      </c>
      <c r="D149" s="150" t="str">
        <f>IF(B149="","",_xll.BDP($B149,D$8,"fill=b"))</f>
        <v/>
      </c>
      <c r="E149" s="150" t="str">
        <f>IF(C149="","",_xll.BDP($B149,E$8,"fill=b"))</f>
        <v/>
      </c>
      <c r="F149" s="150" t="str">
        <f>IF(B149="","",_xll.BDP($B149,F$8,"fill=b"))</f>
        <v/>
      </c>
      <c r="G149" s="150" t="str">
        <f>IF(B149="","",_xll.BDP($B149,G$8,"fill=b"))</f>
        <v/>
      </c>
      <c r="H149" s="150" t="str">
        <f>IF(B149="","",IF(LEFT(_xll.BDP($B149,H$8,"fill=b"),1)="#","-",_xll.BDP($B149,H$8,"fill=b")))</f>
        <v/>
      </c>
      <c r="I149" s="150" t="str">
        <f>IF(OR(B149="",TRIM(H149)="-"),"",_xll.BDP(H149&amp;" Equity",I$8,"fill=b"))</f>
        <v/>
      </c>
      <c r="J149" s="150" t="str">
        <f>IF(OR($B149="",$H149="-"),"",_xll.BDP($H149&amp;" Equity",J$8,"fill=b"))</f>
        <v/>
      </c>
      <c r="K149" s="150" t="str">
        <f>IF(OR($B149="",$H149="-"),"",_xll.BDP($H149&amp;" Equity",K$8,"fill=b"))</f>
        <v/>
      </c>
      <c r="L149" s="258" t="str">
        <f>IF(OR($B149="",$H149="-"),"",_xll.BDP($H149&amp;" Equity",L$8,"fill=b"))</f>
        <v/>
      </c>
    </row>
    <row r="150" spans="2:12" x14ac:dyDescent="0.25">
      <c r="B150" s="182" t="str">
        <v/>
      </c>
      <c r="C150" s="150" t="str">
        <f>IF(B150="","",_xll.BDP($B150,C$8,"fill=b"))</f>
        <v/>
      </c>
      <c r="D150" s="150" t="str">
        <f>IF(B150="","",_xll.BDP($B150,D$8,"fill=b"))</f>
        <v/>
      </c>
      <c r="E150" s="150" t="str">
        <f>IF(C150="","",_xll.BDP($B150,E$8,"fill=b"))</f>
        <v/>
      </c>
      <c r="F150" s="150" t="str">
        <f>IF(B150="","",_xll.BDP($B150,F$8,"fill=b"))</f>
        <v/>
      </c>
      <c r="G150" s="150" t="str">
        <f>IF(B150="","",_xll.BDP($B150,G$8,"fill=b"))</f>
        <v/>
      </c>
      <c r="H150" s="150" t="str">
        <f>IF(B150="","",IF(LEFT(_xll.BDP($B150,H$8,"fill=b"),1)="#","-",_xll.BDP($B150,H$8,"fill=b")))</f>
        <v/>
      </c>
      <c r="I150" s="150" t="str">
        <f>IF(OR(B150="",TRIM(H150)="-"),"",_xll.BDP(H150&amp;" Equity",I$8,"fill=b"))</f>
        <v/>
      </c>
      <c r="J150" s="150" t="str">
        <f>IF(OR($B150="",$H150="-"),"",_xll.BDP($H150&amp;" Equity",J$8,"fill=b"))</f>
        <v/>
      </c>
      <c r="K150" s="150" t="str">
        <f>IF(OR($B150="",$H150="-"),"",_xll.BDP($H150&amp;" Equity",K$8,"fill=b"))</f>
        <v/>
      </c>
      <c r="L150" s="258" t="str">
        <f>IF(OR($B150="",$H150="-"),"",_xll.BDP($H150&amp;" Equity",L$8,"fill=b"))</f>
        <v/>
      </c>
    </row>
    <row r="151" spans="2:12" x14ac:dyDescent="0.25">
      <c r="B151" s="182" t="str">
        <v/>
      </c>
      <c r="C151" s="150" t="str">
        <f>IF(B151="","",_xll.BDP($B151,C$8,"fill=b"))</f>
        <v/>
      </c>
      <c r="D151" s="150" t="str">
        <f>IF(B151="","",_xll.BDP($B151,D$8,"fill=b"))</f>
        <v/>
      </c>
      <c r="E151" s="150" t="str">
        <f>IF(C151="","",_xll.BDP($B151,E$8,"fill=b"))</f>
        <v/>
      </c>
      <c r="F151" s="150" t="str">
        <f>IF(B151="","",_xll.BDP($B151,F$8,"fill=b"))</f>
        <v/>
      </c>
      <c r="G151" s="150" t="str">
        <f>IF(B151="","",_xll.BDP($B151,G$8,"fill=b"))</f>
        <v/>
      </c>
      <c r="H151" s="150" t="str">
        <f>IF(B151="","",IF(LEFT(_xll.BDP($B151,H$8,"fill=b"),1)="#","-",_xll.BDP($B151,H$8,"fill=b")))</f>
        <v/>
      </c>
      <c r="I151" s="150" t="str">
        <f>IF(OR(B151="",TRIM(H151)="-"),"",_xll.BDP(H151&amp;" Equity",I$8,"fill=b"))</f>
        <v/>
      </c>
      <c r="J151" s="150" t="str">
        <f>IF(OR($B151="",$H151="-"),"",_xll.BDP($H151&amp;" Equity",J$8,"fill=b"))</f>
        <v/>
      </c>
      <c r="K151" s="150" t="str">
        <f>IF(OR($B151="",$H151="-"),"",_xll.BDP($H151&amp;" Equity",K$8,"fill=b"))</f>
        <v/>
      </c>
      <c r="L151" s="258" t="str">
        <f>IF(OR($B151="",$H151="-"),"",_xll.BDP($H151&amp;" Equity",L$8,"fill=b"))</f>
        <v/>
      </c>
    </row>
    <row r="152" spans="2:12" x14ac:dyDescent="0.25">
      <c r="B152" s="182" t="str">
        <v/>
      </c>
      <c r="C152" s="150" t="str">
        <f>IF(B152="","",_xll.BDP($B152,C$8,"fill=b"))</f>
        <v/>
      </c>
      <c r="D152" s="150" t="str">
        <f>IF(B152="","",_xll.BDP($B152,D$8,"fill=b"))</f>
        <v/>
      </c>
      <c r="E152" s="150" t="str">
        <f>IF(C152="","",_xll.BDP($B152,E$8,"fill=b"))</f>
        <v/>
      </c>
      <c r="F152" s="150" t="str">
        <f>IF(B152="","",_xll.BDP($B152,F$8,"fill=b"))</f>
        <v/>
      </c>
      <c r="G152" s="150" t="str">
        <f>IF(B152="","",_xll.BDP($B152,G$8,"fill=b"))</f>
        <v/>
      </c>
      <c r="H152" s="150" t="str">
        <f>IF(B152="","",IF(LEFT(_xll.BDP($B152,H$8,"fill=b"),1)="#","-",_xll.BDP($B152,H$8,"fill=b")))</f>
        <v/>
      </c>
      <c r="I152" s="150" t="str">
        <f>IF(OR(B152="",TRIM(H152)="-"),"",_xll.BDP(H152&amp;" Equity",I$8,"fill=b"))</f>
        <v/>
      </c>
      <c r="J152" s="150" t="str">
        <f>IF(OR($B152="",$H152="-"),"",_xll.BDP($H152&amp;" Equity",J$8,"fill=b"))</f>
        <v/>
      </c>
      <c r="K152" s="150" t="str">
        <f>IF(OR($B152="",$H152="-"),"",_xll.BDP($H152&amp;" Equity",K$8,"fill=b"))</f>
        <v/>
      </c>
      <c r="L152" s="258" t="str">
        <f>IF(OR($B152="",$H152="-"),"",_xll.BDP($H152&amp;" Equity",L$8,"fill=b"))</f>
        <v/>
      </c>
    </row>
    <row r="153" spans="2:12" x14ac:dyDescent="0.25">
      <c r="B153" s="182" t="str">
        <v/>
      </c>
      <c r="C153" s="150" t="str">
        <f>IF(B153="","",_xll.BDP($B153,C$8,"fill=b"))</f>
        <v/>
      </c>
      <c r="D153" s="150" t="str">
        <f>IF(B153="","",_xll.BDP($B153,D$8,"fill=b"))</f>
        <v/>
      </c>
      <c r="E153" s="150" t="str">
        <f>IF(C153="","",_xll.BDP($B153,E$8,"fill=b"))</f>
        <v/>
      </c>
      <c r="F153" s="150" t="str">
        <f>IF(B153="","",_xll.BDP($B153,F$8,"fill=b"))</f>
        <v/>
      </c>
      <c r="G153" s="150" t="str">
        <f>IF(B153="","",_xll.BDP($B153,G$8,"fill=b"))</f>
        <v/>
      </c>
      <c r="H153" s="150" t="str">
        <f>IF(B153="","",IF(LEFT(_xll.BDP($B153,H$8,"fill=b"),1)="#","-",_xll.BDP($B153,H$8,"fill=b")))</f>
        <v/>
      </c>
      <c r="I153" s="150" t="str">
        <f>IF(OR(B153="",TRIM(H153)="-"),"",_xll.BDP(H153&amp;" Equity",I$8,"fill=b"))</f>
        <v/>
      </c>
      <c r="J153" s="150" t="str">
        <f>IF(OR($B153="",$H153="-"),"",_xll.BDP($H153&amp;" Equity",J$8,"fill=b"))</f>
        <v/>
      </c>
      <c r="K153" s="150" t="str">
        <f>IF(OR($B153="",$H153="-"),"",_xll.BDP($H153&amp;" Equity",K$8,"fill=b"))</f>
        <v/>
      </c>
      <c r="L153" s="258" t="str">
        <f>IF(OR($B153="",$H153="-"),"",_xll.BDP($H153&amp;" Equity",L$8,"fill=b"))</f>
        <v/>
      </c>
    </row>
    <row r="154" spans="2:12" x14ac:dyDescent="0.25">
      <c r="B154" s="182" t="str">
        <v/>
      </c>
      <c r="C154" s="150" t="str">
        <f>IF(B154="","",_xll.BDP($B154,C$8,"fill=b"))</f>
        <v/>
      </c>
      <c r="D154" s="150" t="str">
        <f>IF(B154="","",_xll.BDP($B154,D$8,"fill=b"))</f>
        <v/>
      </c>
      <c r="E154" s="150" t="str">
        <f>IF(C154="","",_xll.BDP($B154,E$8,"fill=b"))</f>
        <v/>
      </c>
      <c r="F154" s="150" t="str">
        <f>IF(B154="","",_xll.BDP($B154,F$8,"fill=b"))</f>
        <v/>
      </c>
      <c r="G154" s="150" t="str">
        <f>IF(B154="","",_xll.BDP($B154,G$8,"fill=b"))</f>
        <v/>
      </c>
      <c r="H154" s="150" t="str">
        <f>IF(B154="","",IF(LEFT(_xll.BDP($B154,H$8,"fill=b"),1)="#","-",_xll.BDP($B154,H$8,"fill=b")))</f>
        <v/>
      </c>
      <c r="I154" s="150" t="str">
        <f>IF(OR(B154="",TRIM(H154)="-"),"",_xll.BDP(H154&amp;" Equity",I$8,"fill=b"))</f>
        <v/>
      </c>
      <c r="J154" s="150" t="str">
        <f>IF(OR($B154="",$H154="-"),"",_xll.BDP($H154&amp;" Equity",J$8,"fill=b"))</f>
        <v/>
      </c>
      <c r="K154" s="150" t="str">
        <f>IF(OR($B154="",$H154="-"),"",_xll.BDP($H154&amp;" Equity",K$8,"fill=b"))</f>
        <v/>
      </c>
      <c r="L154" s="258" t="str">
        <f>IF(OR($B154="",$H154="-"),"",_xll.BDP($H154&amp;" Equity",L$8,"fill=b"))</f>
        <v/>
      </c>
    </row>
    <row r="155" spans="2:12" x14ac:dyDescent="0.25">
      <c r="B155" s="182" t="str">
        <v/>
      </c>
      <c r="C155" s="150" t="str">
        <f>IF(B155="","",_xll.BDP($B155,C$8,"fill=b"))</f>
        <v/>
      </c>
      <c r="D155" s="150" t="str">
        <f>IF(B155="","",_xll.BDP($B155,D$8,"fill=b"))</f>
        <v/>
      </c>
      <c r="E155" s="150" t="str">
        <f>IF(C155="","",_xll.BDP($B155,E$8,"fill=b"))</f>
        <v/>
      </c>
      <c r="F155" s="150" t="str">
        <f>IF(B155="","",_xll.BDP($B155,F$8,"fill=b"))</f>
        <v/>
      </c>
      <c r="G155" s="150" t="str">
        <f>IF(B155="","",_xll.BDP($B155,G$8,"fill=b"))</f>
        <v/>
      </c>
      <c r="H155" s="150" t="str">
        <f>IF(B155="","",IF(LEFT(_xll.BDP($B155,H$8,"fill=b"),1)="#","-",_xll.BDP($B155,H$8,"fill=b")))</f>
        <v/>
      </c>
      <c r="I155" s="150" t="str">
        <f>IF(OR(B155="",TRIM(H155)="-"),"",_xll.BDP(H155&amp;" Equity",I$8,"fill=b"))</f>
        <v/>
      </c>
      <c r="J155" s="150" t="str">
        <f>IF(OR($B155="",$H155="-"),"",_xll.BDP($H155&amp;" Equity",J$8,"fill=b"))</f>
        <v/>
      </c>
      <c r="K155" s="150" t="str">
        <f>IF(OR($B155="",$H155="-"),"",_xll.BDP($H155&amp;" Equity",K$8,"fill=b"))</f>
        <v/>
      </c>
      <c r="L155" s="258" t="str">
        <f>IF(OR($B155="",$H155="-"),"",_xll.BDP($H155&amp;" Equity",L$8,"fill=b"))</f>
        <v/>
      </c>
    </row>
    <row r="156" spans="2:12" x14ac:dyDescent="0.25">
      <c r="B156" s="182" t="str">
        <v/>
      </c>
      <c r="C156" s="150" t="str">
        <f>IF(B156="","",_xll.BDP($B156,C$8,"fill=b"))</f>
        <v/>
      </c>
      <c r="D156" s="150" t="str">
        <f>IF(B156="","",_xll.BDP($B156,D$8,"fill=b"))</f>
        <v/>
      </c>
      <c r="E156" s="150" t="str">
        <f>IF(C156="","",_xll.BDP($B156,E$8,"fill=b"))</f>
        <v/>
      </c>
      <c r="F156" s="150" t="str">
        <f>IF(B156="","",_xll.BDP($B156,F$8,"fill=b"))</f>
        <v/>
      </c>
      <c r="G156" s="150" t="str">
        <f>IF(B156="","",_xll.BDP($B156,G$8,"fill=b"))</f>
        <v/>
      </c>
      <c r="H156" s="150" t="str">
        <f>IF(B156="","",IF(LEFT(_xll.BDP($B156,H$8,"fill=b"),1)="#","-",_xll.BDP($B156,H$8,"fill=b")))</f>
        <v/>
      </c>
      <c r="I156" s="150" t="str">
        <f>IF(OR(B156="",TRIM(H156)="-"),"",_xll.BDP(H156&amp;" Equity",I$8,"fill=b"))</f>
        <v/>
      </c>
      <c r="J156" s="150" t="str">
        <f>IF(OR($B156="",$H156="-"),"",_xll.BDP($H156&amp;" Equity",J$8,"fill=b"))</f>
        <v/>
      </c>
      <c r="K156" s="150" t="str">
        <f>IF(OR($B156="",$H156="-"),"",_xll.BDP($H156&amp;" Equity",K$8,"fill=b"))</f>
        <v/>
      </c>
      <c r="L156" s="258" t="str">
        <f>IF(OR($B156="",$H156="-"),"",_xll.BDP($H156&amp;" Equity",L$8,"fill=b"))</f>
        <v/>
      </c>
    </row>
    <row r="157" spans="2:12" x14ac:dyDescent="0.25">
      <c r="B157" s="182" t="str">
        <v/>
      </c>
      <c r="C157" s="150" t="str">
        <f>IF(B157="","",_xll.BDP($B157,C$8,"fill=b"))</f>
        <v/>
      </c>
      <c r="D157" s="150" t="str">
        <f>IF(B157="","",_xll.BDP($B157,D$8,"fill=b"))</f>
        <v/>
      </c>
      <c r="E157" s="150" t="str">
        <f>IF(C157="","",_xll.BDP($B157,E$8,"fill=b"))</f>
        <v/>
      </c>
      <c r="F157" s="150" t="str">
        <f>IF(B157="","",_xll.BDP($B157,F$8,"fill=b"))</f>
        <v/>
      </c>
      <c r="G157" s="150" t="str">
        <f>IF(B157="","",_xll.BDP($B157,G$8,"fill=b"))</f>
        <v/>
      </c>
      <c r="H157" s="150" t="str">
        <f>IF(B157="","",IF(LEFT(_xll.BDP($B157,H$8,"fill=b"),1)="#","-",_xll.BDP($B157,H$8,"fill=b")))</f>
        <v/>
      </c>
      <c r="I157" s="150" t="str">
        <f>IF(OR(B157="",TRIM(H157)="-"),"",_xll.BDP(H157&amp;" Equity",I$8,"fill=b"))</f>
        <v/>
      </c>
      <c r="J157" s="150" t="str">
        <f>IF(OR($B157="",$H157="-"),"",_xll.BDP($H157&amp;" Equity",J$8,"fill=b"))</f>
        <v/>
      </c>
      <c r="K157" s="150" t="str">
        <f>IF(OR($B157="",$H157="-"),"",_xll.BDP($H157&amp;" Equity",K$8,"fill=b"))</f>
        <v/>
      </c>
      <c r="L157" s="258" t="str">
        <f>IF(OR($B157="",$H157="-"),"",_xll.BDP($H157&amp;" Equity",L$8,"fill=b"))</f>
        <v/>
      </c>
    </row>
    <row r="158" spans="2:12" x14ac:dyDescent="0.25">
      <c r="B158" s="194" t="str">
        <v/>
      </c>
      <c r="C158" s="195" t="str">
        <f>IF(B158="","",_xll.BDP($B158,C$8,"fill=b"))</f>
        <v/>
      </c>
      <c r="D158" s="195" t="str">
        <f>IF(B158="","",_xll.BDP($B158,D$8,"fill=b"))</f>
        <v/>
      </c>
      <c r="E158" s="195" t="str">
        <f>IF(C158="","",_xll.BDP($B158,E$8,"fill=b"))</f>
        <v/>
      </c>
      <c r="F158" s="195" t="str">
        <f>IF(B158="","",_xll.BDP($B158,F$8,"fill=b"))</f>
        <v/>
      </c>
      <c r="G158" s="195" t="str">
        <f>IF(B158="","",_xll.BDP($B158,G$8,"fill=b"))</f>
        <v/>
      </c>
      <c r="H158" s="195" t="str">
        <f>IF(B158="","",IF(LEFT(_xll.BDP($B158,H$8,"fill=b"),1)="#","-",_xll.BDP($B158,H$8,"fill=b")))</f>
        <v/>
      </c>
      <c r="I158" s="195" t="str">
        <f>IF(OR(B158="",TRIM(H158)="-"),"",_xll.BDP(H158&amp;" Equity",I$8,"fill=b"))</f>
        <v/>
      </c>
      <c r="J158" s="195" t="str">
        <f>IF(OR($B158="",$H158="-"),"",_xll.BDP($H158&amp;" Equity",J$8,"fill=b"))</f>
        <v/>
      </c>
      <c r="K158" s="195" t="str">
        <f>IF(OR($B158="",$H158="-"),"",_xll.BDP($H158&amp;" Equity",K$8,"fill=b"))</f>
        <v/>
      </c>
      <c r="L158" s="263" t="str">
        <f>IF(OR($B158="",$H158="-"),"",_xll.BDP($H158&amp;" Equity",L$8,"fill=b"))</f>
        <v/>
      </c>
    </row>
  </sheetData>
  <pageMargins left="0.7" right="0.7" top="0.75" bottom="0.75" header="0.3" footer="0.3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7">
    <tabColor rgb="FF00B050"/>
  </sheetPr>
  <dimension ref="B1:X156"/>
  <sheetViews>
    <sheetView showGridLines="0" showRowColHeaders="0" zoomScaleNormal="100" workbookViewId="0">
      <pane ySplit="5" topLeftCell="A96" activePane="bottomLeft" state="frozenSplit"/>
      <selection pane="bottomLeft" activeCell="U6" sqref="U6:X147"/>
    </sheetView>
  </sheetViews>
  <sheetFormatPr defaultRowHeight="15" x14ac:dyDescent="0.25"/>
  <cols>
    <col min="1" max="1" width="1.7109375" customWidth="1"/>
  </cols>
  <sheetData>
    <row r="1" spans="2:24" ht="5.0999999999999996" customHeight="1" x14ac:dyDescent="0.25"/>
    <row r="2" spans="2:24" ht="15" customHeight="1" x14ac:dyDescent="0.25"/>
    <row r="3" spans="2:24" ht="15" customHeight="1" x14ac:dyDescent="0.25"/>
    <row r="4" spans="2:24" ht="15" customHeight="1" x14ac:dyDescent="0.25"/>
    <row r="5" spans="2:24" ht="5.0999999999999996" customHeight="1" x14ac:dyDescent="0.25"/>
    <row r="6" spans="2:24" x14ac:dyDescent="0.25">
      <c r="B6" s="339"/>
      <c r="C6" s="331"/>
      <c r="D6" s="334"/>
      <c r="E6" s="331"/>
      <c r="F6" s="331"/>
      <c r="G6" s="331"/>
      <c r="H6" s="331"/>
      <c r="I6" s="331"/>
      <c r="J6" s="331"/>
      <c r="K6" s="331"/>
      <c r="L6" s="331"/>
      <c r="M6" s="331"/>
      <c r="N6" s="331"/>
      <c r="O6" s="331"/>
      <c r="P6" s="331"/>
      <c r="Q6" s="331"/>
      <c r="R6" s="331"/>
      <c r="S6" s="330"/>
      <c r="T6" s="331"/>
      <c r="U6" s="333"/>
      <c r="V6" s="331"/>
      <c r="W6" s="331"/>
      <c r="X6" s="331"/>
    </row>
    <row r="7" spans="2:24" x14ac:dyDescent="0.25">
      <c r="B7" s="331"/>
      <c r="C7" s="331"/>
      <c r="D7" s="331"/>
      <c r="E7" s="331"/>
      <c r="F7" s="331"/>
      <c r="G7" s="331"/>
      <c r="H7" s="331"/>
      <c r="I7" s="331"/>
      <c r="J7" s="331"/>
      <c r="K7" s="331"/>
      <c r="L7" s="331"/>
      <c r="M7" s="331"/>
      <c r="N7" s="331"/>
      <c r="O7" s="331"/>
      <c r="P7" s="331"/>
      <c r="Q7" s="331"/>
      <c r="R7" s="331"/>
      <c r="S7" s="331"/>
      <c r="T7" s="331"/>
      <c r="U7" s="331"/>
      <c r="V7" s="331"/>
      <c r="W7" s="331"/>
      <c r="X7" s="331"/>
    </row>
    <row r="8" spans="2:24" x14ac:dyDescent="0.25">
      <c r="B8" s="331"/>
      <c r="C8" s="331"/>
      <c r="D8" s="331"/>
      <c r="E8" s="331"/>
      <c r="F8" s="331"/>
      <c r="G8" s="331"/>
      <c r="H8" s="331"/>
      <c r="I8" s="331"/>
      <c r="J8" s="331"/>
      <c r="K8" s="331"/>
      <c r="L8" s="331"/>
      <c r="M8" s="331"/>
      <c r="N8" s="331"/>
      <c r="O8" s="331"/>
      <c r="P8" s="331"/>
      <c r="Q8" s="331"/>
      <c r="R8" s="331"/>
      <c r="S8" s="331"/>
      <c r="T8" s="331"/>
      <c r="U8" s="331"/>
      <c r="V8" s="331"/>
      <c r="W8" s="331"/>
      <c r="X8" s="331"/>
    </row>
    <row r="9" spans="2:24" x14ac:dyDescent="0.25">
      <c r="B9" s="331"/>
      <c r="C9" s="331"/>
      <c r="D9" s="331"/>
      <c r="E9" s="331"/>
      <c r="F9" s="331"/>
      <c r="G9" s="331"/>
      <c r="H9" s="331"/>
      <c r="I9" s="331"/>
      <c r="J9" s="331"/>
      <c r="K9" s="331"/>
      <c r="L9" s="331"/>
      <c r="M9" s="331"/>
      <c r="N9" s="331"/>
      <c r="O9" s="331"/>
      <c r="P9" s="331"/>
      <c r="Q9" s="331"/>
      <c r="R9" s="331"/>
      <c r="S9" s="331"/>
      <c r="T9" s="331"/>
      <c r="U9" s="331"/>
      <c r="V9" s="331"/>
      <c r="W9" s="331"/>
      <c r="X9" s="331"/>
    </row>
    <row r="10" spans="2:24" x14ac:dyDescent="0.25">
      <c r="B10" s="333"/>
      <c r="C10" s="331"/>
      <c r="D10" s="14"/>
      <c r="S10" s="335"/>
      <c r="T10" s="331"/>
      <c r="U10" s="331"/>
      <c r="V10" s="331"/>
      <c r="W10" s="331"/>
      <c r="X10" s="331"/>
    </row>
    <row r="11" spans="2:24" x14ac:dyDescent="0.25">
      <c r="B11" s="331"/>
      <c r="C11" s="331"/>
      <c r="S11" s="331"/>
      <c r="T11" s="331"/>
      <c r="U11" s="331"/>
      <c r="V11" s="331"/>
      <c r="W11" s="331"/>
      <c r="X11" s="331"/>
    </row>
    <row r="12" spans="2:24" x14ac:dyDescent="0.25">
      <c r="B12" s="331"/>
      <c r="C12" s="331"/>
      <c r="D12" t="s">
        <v>362</v>
      </c>
      <c r="S12" s="331"/>
      <c r="T12" s="331"/>
      <c r="U12" s="331"/>
      <c r="V12" s="331"/>
      <c r="W12" s="331"/>
      <c r="X12" s="331"/>
    </row>
    <row r="13" spans="2:24" x14ac:dyDescent="0.25">
      <c r="B13" s="331"/>
      <c r="C13" s="331"/>
      <c r="D13" t="s">
        <v>363</v>
      </c>
      <c r="S13" s="331"/>
      <c r="T13" s="331"/>
      <c r="U13" s="331"/>
      <c r="V13" s="331"/>
      <c r="W13" s="331"/>
      <c r="X13" s="331"/>
    </row>
    <row r="14" spans="2:24" x14ac:dyDescent="0.25">
      <c r="B14" s="331"/>
      <c r="C14" s="331"/>
      <c r="S14" s="331"/>
      <c r="T14" s="331"/>
      <c r="U14" s="331"/>
      <c r="V14" s="331"/>
      <c r="W14" s="331"/>
      <c r="X14" s="331"/>
    </row>
    <row r="15" spans="2:24" x14ac:dyDescent="0.25">
      <c r="B15" s="331"/>
      <c r="C15" s="331"/>
      <c r="D15" s="12" t="s">
        <v>364</v>
      </c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331"/>
      <c r="T15" s="331"/>
      <c r="U15" s="331"/>
      <c r="V15" s="331"/>
      <c r="W15" s="331"/>
      <c r="X15" s="331"/>
    </row>
    <row r="16" spans="2:24" x14ac:dyDescent="0.25">
      <c r="B16" s="331"/>
      <c r="C16" s="331"/>
      <c r="D16" t="s">
        <v>365</v>
      </c>
      <c r="S16" s="331"/>
      <c r="T16" s="331"/>
      <c r="U16" s="331"/>
      <c r="V16" s="331"/>
      <c r="W16" s="331"/>
      <c r="X16" s="331"/>
    </row>
    <row r="17" spans="2:24" x14ac:dyDescent="0.25">
      <c r="B17" s="331"/>
      <c r="C17" s="331"/>
      <c r="S17" s="331"/>
      <c r="T17" s="331"/>
      <c r="U17" s="331"/>
      <c r="V17" s="331"/>
      <c r="W17" s="331"/>
      <c r="X17" s="331"/>
    </row>
    <row r="18" spans="2:24" x14ac:dyDescent="0.25">
      <c r="B18" s="331"/>
      <c r="C18" s="331"/>
      <c r="S18" s="331"/>
      <c r="T18" s="331"/>
      <c r="U18" s="331"/>
      <c r="V18" s="331"/>
      <c r="W18" s="331"/>
      <c r="X18" s="331"/>
    </row>
    <row r="19" spans="2:24" x14ac:dyDescent="0.25">
      <c r="B19" s="331"/>
      <c r="C19" s="331"/>
      <c r="S19" s="331"/>
      <c r="T19" s="331"/>
      <c r="U19" s="331"/>
      <c r="V19" s="331"/>
      <c r="W19" s="331"/>
      <c r="X19" s="331"/>
    </row>
    <row r="20" spans="2:24" x14ac:dyDescent="0.25">
      <c r="B20" s="331"/>
      <c r="C20" s="331"/>
      <c r="S20" s="331"/>
      <c r="T20" s="331"/>
      <c r="U20" s="331"/>
      <c r="V20" s="331"/>
      <c r="W20" s="331"/>
      <c r="X20" s="331"/>
    </row>
    <row r="21" spans="2:24" x14ac:dyDescent="0.25">
      <c r="B21" s="331"/>
      <c r="C21" s="331"/>
      <c r="S21" s="331"/>
      <c r="T21" s="331"/>
      <c r="U21" s="331"/>
      <c r="V21" s="331"/>
      <c r="W21" s="331"/>
      <c r="X21" s="331"/>
    </row>
    <row r="22" spans="2:24" x14ac:dyDescent="0.25">
      <c r="B22" s="331"/>
      <c r="C22" s="331"/>
      <c r="S22" s="331"/>
      <c r="T22" s="331"/>
      <c r="U22" s="331"/>
      <c r="V22" s="331"/>
      <c r="W22" s="331"/>
      <c r="X22" s="331"/>
    </row>
    <row r="23" spans="2:24" x14ac:dyDescent="0.25">
      <c r="B23" s="331"/>
      <c r="C23" s="331"/>
      <c r="S23" s="331"/>
      <c r="T23" s="331"/>
      <c r="U23" s="331"/>
      <c r="V23" s="331"/>
      <c r="W23" s="331"/>
      <c r="X23" s="331"/>
    </row>
    <row r="24" spans="2:24" x14ac:dyDescent="0.25">
      <c r="B24" s="331"/>
      <c r="C24" s="331"/>
      <c r="S24" s="331"/>
      <c r="T24" s="331"/>
      <c r="U24" s="331"/>
      <c r="V24" s="331"/>
      <c r="W24" s="331"/>
      <c r="X24" s="331"/>
    </row>
    <row r="25" spans="2:24" x14ac:dyDescent="0.25">
      <c r="B25" s="331"/>
      <c r="C25" s="331"/>
      <c r="S25" s="331"/>
      <c r="T25" s="331"/>
      <c r="U25" s="331"/>
      <c r="V25" s="331"/>
      <c r="W25" s="331"/>
      <c r="X25" s="331"/>
    </row>
    <row r="26" spans="2:24" x14ac:dyDescent="0.25">
      <c r="B26" s="331"/>
      <c r="C26" s="331"/>
      <c r="S26" s="331"/>
      <c r="T26" s="331"/>
      <c r="U26" s="331"/>
      <c r="V26" s="331"/>
      <c r="W26" s="331"/>
      <c r="X26" s="331"/>
    </row>
    <row r="27" spans="2:24" x14ac:dyDescent="0.25">
      <c r="B27" s="331"/>
      <c r="C27" s="331"/>
      <c r="S27" s="331"/>
      <c r="T27" s="331"/>
      <c r="U27" s="331"/>
      <c r="V27" s="331"/>
      <c r="W27" s="331"/>
      <c r="X27" s="331"/>
    </row>
    <row r="28" spans="2:24" x14ac:dyDescent="0.25">
      <c r="B28" s="331"/>
      <c r="C28" s="331"/>
      <c r="S28" s="331"/>
      <c r="T28" s="331"/>
      <c r="U28" s="331"/>
      <c r="V28" s="331"/>
      <c r="W28" s="331"/>
      <c r="X28" s="331"/>
    </row>
    <row r="29" spans="2:24" x14ac:dyDescent="0.25">
      <c r="B29" s="331"/>
      <c r="C29" s="331"/>
      <c r="S29" s="331"/>
      <c r="T29" s="331"/>
      <c r="U29" s="331"/>
      <c r="V29" s="331"/>
      <c r="W29" s="331"/>
      <c r="X29" s="331"/>
    </row>
    <row r="30" spans="2:24" x14ac:dyDescent="0.25">
      <c r="B30" s="331"/>
      <c r="C30" s="331"/>
      <c r="S30" s="331"/>
      <c r="T30" s="331"/>
      <c r="U30" s="331"/>
      <c r="V30" s="331"/>
      <c r="W30" s="331"/>
      <c r="X30" s="331"/>
    </row>
    <row r="31" spans="2:24" x14ac:dyDescent="0.25">
      <c r="B31" s="331"/>
      <c r="C31" s="331"/>
      <c r="S31" s="331"/>
      <c r="T31" s="331"/>
      <c r="U31" s="331"/>
      <c r="V31" s="331"/>
      <c r="W31" s="331"/>
      <c r="X31" s="331"/>
    </row>
    <row r="32" spans="2:24" x14ac:dyDescent="0.25">
      <c r="B32" s="331"/>
      <c r="C32" s="331"/>
      <c r="S32" s="331"/>
      <c r="T32" s="331"/>
      <c r="U32" s="331"/>
      <c r="V32" s="331"/>
      <c r="W32" s="331"/>
      <c r="X32" s="331"/>
    </row>
    <row r="33" spans="2:24" x14ac:dyDescent="0.25">
      <c r="B33" s="331"/>
      <c r="C33" s="331"/>
      <c r="S33" s="331"/>
      <c r="T33" s="331"/>
      <c r="U33" s="331"/>
      <c r="V33" s="331"/>
      <c r="W33" s="331"/>
      <c r="X33" s="331"/>
    </row>
    <row r="34" spans="2:24" x14ac:dyDescent="0.25">
      <c r="B34" s="331"/>
      <c r="C34" s="331"/>
      <c r="S34" s="331"/>
      <c r="T34" s="331"/>
      <c r="U34" s="331"/>
      <c r="V34" s="331"/>
      <c r="W34" s="331"/>
      <c r="X34" s="331"/>
    </row>
    <row r="35" spans="2:24" x14ac:dyDescent="0.25">
      <c r="B35" s="331"/>
      <c r="C35" s="331"/>
      <c r="S35" s="331"/>
      <c r="T35" s="331"/>
      <c r="U35" s="331"/>
      <c r="V35" s="331"/>
      <c r="W35" s="331"/>
      <c r="X35" s="331"/>
    </row>
    <row r="36" spans="2:24" x14ac:dyDescent="0.25">
      <c r="B36" s="331"/>
      <c r="C36" s="331"/>
      <c r="S36" s="331"/>
      <c r="T36" s="331"/>
      <c r="U36" s="331"/>
      <c r="V36" s="331"/>
      <c r="W36" s="331"/>
      <c r="X36" s="331"/>
    </row>
    <row r="37" spans="2:24" x14ac:dyDescent="0.25">
      <c r="B37" s="331"/>
      <c r="C37" s="331"/>
      <c r="S37" s="331"/>
      <c r="T37" s="331"/>
      <c r="U37" s="331"/>
      <c r="V37" s="331"/>
      <c r="W37" s="331"/>
      <c r="X37" s="331"/>
    </row>
    <row r="38" spans="2:24" x14ac:dyDescent="0.25">
      <c r="B38" s="331"/>
      <c r="C38" s="331"/>
      <c r="S38" s="331"/>
      <c r="T38" s="331"/>
      <c r="U38" s="331"/>
      <c r="V38" s="331"/>
      <c r="W38" s="331"/>
      <c r="X38" s="331"/>
    </row>
    <row r="39" spans="2:24" x14ac:dyDescent="0.25">
      <c r="B39" s="331"/>
      <c r="C39" s="331"/>
      <c r="S39" s="331"/>
      <c r="T39" s="331"/>
      <c r="U39" s="331"/>
      <c r="V39" s="331"/>
      <c r="W39" s="331"/>
      <c r="X39" s="331"/>
    </row>
    <row r="40" spans="2:24" x14ac:dyDescent="0.25">
      <c r="B40" s="331"/>
      <c r="C40" s="331"/>
      <c r="S40" s="331"/>
      <c r="T40" s="331"/>
      <c r="U40" s="331"/>
      <c r="V40" s="331"/>
      <c r="W40" s="331"/>
      <c r="X40" s="331"/>
    </row>
    <row r="41" spans="2:24" x14ac:dyDescent="0.25">
      <c r="B41" s="331"/>
      <c r="C41" s="331"/>
      <c r="S41" s="331"/>
      <c r="T41" s="331"/>
      <c r="U41" s="331"/>
      <c r="V41" s="331"/>
      <c r="W41" s="331"/>
      <c r="X41" s="331"/>
    </row>
    <row r="42" spans="2:24" x14ac:dyDescent="0.25">
      <c r="B42" s="331"/>
      <c r="C42" s="331"/>
      <c r="S42" s="331"/>
      <c r="T42" s="331"/>
      <c r="U42" s="331"/>
      <c r="V42" s="331"/>
      <c r="W42" s="331"/>
      <c r="X42" s="331"/>
    </row>
    <row r="43" spans="2:24" x14ac:dyDescent="0.25">
      <c r="B43" s="331"/>
      <c r="C43" s="331"/>
      <c r="S43" s="331"/>
      <c r="T43" s="331"/>
      <c r="U43" s="331"/>
      <c r="V43" s="331"/>
      <c r="W43" s="331"/>
      <c r="X43" s="331"/>
    </row>
    <row r="44" spans="2:24" x14ac:dyDescent="0.25">
      <c r="B44" s="331"/>
      <c r="C44" s="331"/>
      <c r="S44" s="331"/>
      <c r="T44" s="331"/>
      <c r="U44" s="331"/>
      <c r="V44" s="331"/>
      <c r="W44" s="331"/>
      <c r="X44" s="331"/>
    </row>
    <row r="45" spans="2:24" x14ac:dyDescent="0.25">
      <c r="B45" s="331"/>
      <c r="C45" s="331"/>
      <c r="S45" s="331"/>
      <c r="T45" s="331"/>
      <c r="U45" s="331"/>
      <c r="V45" s="331"/>
      <c r="W45" s="331"/>
      <c r="X45" s="331"/>
    </row>
    <row r="46" spans="2:24" x14ac:dyDescent="0.25">
      <c r="B46" s="331"/>
      <c r="C46" s="331"/>
      <c r="S46" s="331"/>
      <c r="T46" s="331"/>
      <c r="U46" s="331"/>
      <c r="V46" s="331"/>
      <c r="W46" s="331"/>
      <c r="X46" s="331"/>
    </row>
    <row r="47" spans="2:24" x14ac:dyDescent="0.25">
      <c r="B47" s="331"/>
      <c r="C47" s="331"/>
      <c r="S47" s="331"/>
      <c r="T47" s="331"/>
      <c r="U47" s="331"/>
      <c r="V47" s="331"/>
      <c r="W47" s="331"/>
      <c r="X47" s="331"/>
    </row>
    <row r="48" spans="2:24" x14ac:dyDescent="0.25">
      <c r="B48" s="331"/>
      <c r="C48" s="331"/>
      <c r="S48" s="331"/>
      <c r="T48" s="331"/>
      <c r="U48" s="331"/>
      <c r="V48" s="331"/>
      <c r="W48" s="331"/>
      <c r="X48" s="331"/>
    </row>
    <row r="49" spans="2:24" x14ac:dyDescent="0.25">
      <c r="B49" s="331"/>
      <c r="C49" s="331"/>
      <c r="S49" s="331"/>
      <c r="T49" s="331"/>
      <c r="U49" s="331"/>
      <c r="V49" s="331"/>
      <c r="W49" s="331"/>
      <c r="X49" s="331"/>
    </row>
    <row r="50" spans="2:24" x14ac:dyDescent="0.25">
      <c r="B50" s="331"/>
      <c r="C50" s="331"/>
      <c r="S50" s="331"/>
      <c r="T50" s="331"/>
      <c r="U50" s="331"/>
      <c r="V50" s="331"/>
      <c r="W50" s="331"/>
      <c r="X50" s="331"/>
    </row>
    <row r="51" spans="2:24" x14ac:dyDescent="0.25">
      <c r="B51" s="331"/>
      <c r="C51" s="331"/>
      <c r="S51" s="331"/>
      <c r="T51" s="331"/>
      <c r="U51" s="331"/>
      <c r="V51" s="331"/>
      <c r="W51" s="331"/>
      <c r="X51" s="331"/>
    </row>
    <row r="52" spans="2:24" x14ac:dyDescent="0.25">
      <c r="B52" s="331"/>
      <c r="C52" s="331"/>
      <c r="S52" s="331"/>
      <c r="T52" s="331"/>
      <c r="U52" s="331"/>
      <c r="V52" s="331"/>
      <c r="W52" s="331"/>
      <c r="X52" s="331"/>
    </row>
    <row r="53" spans="2:24" x14ac:dyDescent="0.25">
      <c r="B53" s="331"/>
      <c r="C53" s="331"/>
      <c r="S53" s="331"/>
      <c r="T53" s="331"/>
      <c r="U53" s="331"/>
      <c r="V53" s="331"/>
      <c r="W53" s="331"/>
      <c r="X53" s="331"/>
    </row>
    <row r="54" spans="2:24" x14ac:dyDescent="0.25">
      <c r="B54" s="331"/>
      <c r="C54" s="331"/>
      <c r="S54" s="331"/>
      <c r="T54" s="331"/>
      <c r="U54" s="331"/>
      <c r="V54" s="331"/>
      <c r="W54" s="331"/>
      <c r="X54" s="331"/>
    </row>
    <row r="55" spans="2:24" x14ac:dyDescent="0.25">
      <c r="B55" s="331"/>
      <c r="C55" s="331"/>
      <c r="S55" s="331"/>
      <c r="T55" s="331"/>
      <c r="U55" s="331"/>
      <c r="V55" s="331"/>
      <c r="W55" s="331"/>
      <c r="X55" s="331"/>
    </row>
    <row r="56" spans="2:24" x14ac:dyDescent="0.25">
      <c r="B56" s="331"/>
      <c r="C56" s="331"/>
      <c r="S56" s="331"/>
      <c r="T56" s="331"/>
      <c r="U56" s="331"/>
      <c r="V56" s="331"/>
      <c r="W56" s="331"/>
      <c r="X56" s="331"/>
    </row>
    <row r="57" spans="2:24" x14ac:dyDescent="0.25">
      <c r="B57" s="331"/>
      <c r="C57" s="331"/>
      <c r="S57" s="331"/>
      <c r="T57" s="331"/>
      <c r="U57" s="331"/>
      <c r="V57" s="331"/>
      <c r="W57" s="331"/>
      <c r="X57" s="331"/>
    </row>
    <row r="58" spans="2:24" x14ac:dyDescent="0.25">
      <c r="B58" s="331"/>
      <c r="C58" s="331"/>
      <c r="S58" s="331"/>
      <c r="T58" s="331"/>
      <c r="U58" s="331"/>
      <c r="V58" s="331"/>
      <c r="W58" s="331"/>
      <c r="X58" s="331"/>
    </row>
    <row r="59" spans="2:24" x14ac:dyDescent="0.25">
      <c r="B59" s="331"/>
      <c r="C59" s="331"/>
      <c r="S59" s="331"/>
      <c r="T59" s="331"/>
      <c r="U59" s="331"/>
      <c r="V59" s="331"/>
      <c r="W59" s="331"/>
      <c r="X59" s="331"/>
    </row>
    <row r="60" spans="2:24" x14ac:dyDescent="0.25">
      <c r="B60" s="331"/>
      <c r="C60" s="331"/>
      <c r="S60" s="331"/>
      <c r="T60" s="331"/>
      <c r="U60" s="331"/>
      <c r="V60" s="331"/>
      <c r="W60" s="331"/>
      <c r="X60" s="331"/>
    </row>
    <row r="61" spans="2:24" x14ac:dyDescent="0.25">
      <c r="B61" s="331"/>
      <c r="C61" s="331"/>
      <c r="S61" s="331"/>
      <c r="T61" s="331"/>
      <c r="U61" s="331"/>
      <c r="V61" s="331"/>
      <c r="W61" s="331"/>
      <c r="X61" s="331"/>
    </row>
    <row r="62" spans="2:24" x14ac:dyDescent="0.25">
      <c r="B62" s="331"/>
      <c r="C62" s="331"/>
      <c r="S62" s="331"/>
      <c r="T62" s="331"/>
      <c r="U62" s="331"/>
      <c r="V62" s="331"/>
      <c r="W62" s="331"/>
      <c r="X62" s="331"/>
    </row>
    <row r="63" spans="2:24" x14ac:dyDescent="0.25">
      <c r="B63" s="331"/>
      <c r="C63" s="331"/>
      <c r="S63" s="331"/>
      <c r="T63" s="331"/>
      <c r="U63" s="331"/>
      <c r="V63" s="331"/>
      <c r="W63" s="331"/>
      <c r="X63" s="331"/>
    </row>
    <row r="64" spans="2:24" x14ac:dyDescent="0.25">
      <c r="B64" s="331"/>
      <c r="C64" s="331"/>
      <c r="S64" s="331"/>
      <c r="T64" s="331"/>
      <c r="U64" s="331"/>
      <c r="V64" s="331"/>
      <c r="W64" s="331"/>
      <c r="X64" s="331"/>
    </row>
    <row r="65" spans="2:24" x14ac:dyDescent="0.25">
      <c r="B65" s="331"/>
      <c r="C65" s="331"/>
      <c r="S65" s="331"/>
      <c r="T65" s="331"/>
      <c r="U65" s="331"/>
      <c r="V65" s="331"/>
      <c r="W65" s="331"/>
      <c r="X65" s="331"/>
    </row>
    <row r="66" spans="2:24" x14ac:dyDescent="0.25">
      <c r="B66" s="331"/>
      <c r="C66" s="331"/>
      <c r="S66" s="331"/>
      <c r="T66" s="331"/>
      <c r="U66" s="331"/>
      <c r="V66" s="331"/>
      <c r="W66" s="331"/>
      <c r="X66" s="331"/>
    </row>
    <row r="67" spans="2:24" x14ac:dyDescent="0.25">
      <c r="B67" s="331"/>
      <c r="C67" s="331"/>
      <c r="S67" s="331"/>
      <c r="T67" s="331"/>
      <c r="U67" s="331"/>
      <c r="V67" s="331"/>
      <c r="W67" s="331"/>
      <c r="X67" s="331"/>
    </row>
    <row r="68" spans="2:24" x14ac:dyDescent="0.25">
      <c r="B68" s="331"/>
      <c r="C68" s="331"/>
      <c r="S68" s="331"/>
      <c r="T68" s="331"/>
      <c r="U68" s="331"/>
      <c r="V68" s="331"/>
      <c r="W68" s="331"/>
      <c r="X68" s="331"/>
    </row>
    <row r="69" spans="2:24" x14ac:dyDescent="0.25">
      <c r="B69" s="331"/>
      <c r="C69" s="331"/>
      <c r="S69" s="331"/>
      <c r="T69" s="331"/>
      <c r="U69" s="331"/>
      <c r="V69" s="331"/>
      <c r="W69" s="331"/>
      <c r="X69" s="331"/>
    </row>
    <row r="70" spans="2:24" x14ac:dyDescent="0.25">
      <c r="B70" s="331"/>
      <c r="C70" s="331"/>
      <c r="S70" s="331"/>
      <c r="T70" s="331"/>
      <c r="U70" s="331"/>
      <c r="V70" s="331"/>
      <c r="W70" s="331"/>
      <c r="X70" s="331"/>
    </row>
    <row r="71" spans="2:24" x14ac:dyDescent="0.25">
      <c r="B71" s="331"/>
      <c r="C71" s="331"/>
      <c r="D71" s="12" t="s">
        <v>366</v>
      </c>
      <c r="E71" s="13"/>
      <c r="F71" s="13"/>
      <c r="G71" s="13"/>
      <c r="H71" s="13"/>
      <c r="I71" s="13"/>
      <c r="J71" s="13"/>
      <c r="K71" s="13"/>
      <c r="L71" s="13"/>
      <c r="M71" s="13"/>
      <c r="N71" s="13"/>
      <c r="O71" s="13"/>
      <c r="P71" s="13"/>
      <c r="Q71" s="13"/>
      <c r="R71" s="13"/>
      <c r="S71" s="331"/>
      <c r="T71" s="331"/>
      <c r="U71" s="331"/>
      <c r="V71" s="331"/>
      <c r="W71" s="331"/>
      <c r="X71" s="331"/>
    </row>
    <row r="72" spans="2:24" x14ac:dyDescent="0.25">
      <c r="B72" s="331"/>
      <c r="C72" s="331"/>
      <c r="D72" t="s">
        <v>367</v>
      </c>
      <c r="S72" s="331"/>
      <c r="T72" s="331"/>
      <c r="U72" s="331"/>
      <c r="V72" s="331"/>
      <c r="W72" s="331"/>
      <c r="X72" s="331"/>
    </row>
    <row r="73" spans="2:24" x14ac:dyDescent="0.25">
      <c r="B73" s="331"/>
      <c r="C73" s="331"/>
      <c r="S73" s="331"/>
      <c r="T73" s="331"/>
      <c r="U73" s="331"/>
      <c r="V73" s="331"/>
      <c r="W73" s="331"/>
      <c r="X73" s="331"/>
    </row>
    <row r="74" spans="2:24" x14ac:dyDescent="0.25">
      <c r="B74" s="331"/>
      <c r="C74" s="331"/>
      <c r="D74" s="16"/>
      <c r="E74" t="s">
        <v>368</v>
      </c>
      <c r="S74" s="331"/>
      <c r="T74" s="331"/>
      <c r="U74" s="331"/>
      <c r="V74" s="331"/>
      <c r="W74" s="331"/>
      <c r="X74" s="331"/>
    </row>
    <row r="75" spans="2:24" x14ac:dyDescent="0.25">
      <c r="B75" s="331"/>
      <c r="C75" s="331"/>
      <c r="D75" s="15"/>
      <c r="E75" t="s">
        <v>369</v>
      </c>
      <c r="S75" s="331"/>
      <c r="T75" s="331"/>
      <c r="U75" s="331"/>
      <c r="V75" s="331"/>
      <c r="W75" s="331"/>
      <c r="X75" s="331"/>
    </row>
    <row r="76" spans="2:24" x14ac:dyDescent="0.25">
      <c r="B76" s="331"/>
      <c r="C76" s="331"/>
      <c r="S76" s="331"/>
      <c r="T76" s="331"/>
      <c r="U76" s="331"/>
      <c r="V76" s="331"/>
      <c r="W76" s="331"/>
      <c r="X76" s="331"/>
    </row>
    <row r="77" spans="2:24" x14ac:dyDescent="0.25">
      <c r="B77" s="331"/>
      <c r="C77" s="331"/>
      <c r="S77" s="331"/>
      <c r="T77" s="331"/>
      <c r="U77" s="331"/>
      <c r="V77" s="331"/>
      <c r="W77" s="331"/>
      <c r="X77" s="331"/>
    </row>
    <row r="78" spans="2:24" x14ac:dyDescent="0.25">
      <c r="B78" s="331"/>
      <c r="C78" s="331"/>
      <c r="S78" s="331"/>
      <c r="T78" s="331"/>
      <c r="U78" s="331"/>
      <c r="V78" s="331"/>
      <c r="W78" s="331"/>
      <c r="X78" s="331"/>
    </row>
    <row r="79" spans="2:24" x14ac:dyDescent="0.25">
      <c r="B79" s="331"/>
      <c r="C79" s="331"/>
      <c r="Q79" s="17"/>
      <c r="S79" s="331"/>
      <c r="T79" s="331"/>
      <c r="U79" s="331"/>
      <c r="V79" s="331"/>
      <c r="W79" s="331"/>
      <c r="X79" s="331"/>
    </row>
    <row r="80" spans="2:24" x14ac:dyDescent="0.25">
      <c r="B80" s="331"/>
      <c r="C80" s="331"/>
      <c r="S80" s="331"/>
      <c r="T80" s="331"/>
      <c r="U80" s="331"/>
      <c r="V80" s="331"/>
      <c r="W80" s="331"/>
      <c r="X80" s="331"/>
    </row>
    <row r="81" spans="2:24" x14ac:dyDescent="0.25">
      <c r="B81" s="331"/>
      <c r="C81" s="331"/>
      <c r="S81" s="331"/>
      <c r="T81" s="331"/>
      <c r="U81" s="331"/>
      <c r="V81" s="331"/>
      <c r="W81" s="331"/>
      <c r="X81" s="331"/>
    </row>
    <row r="82" spans="2:24" x14ac:dyDescent="0.25">
      <c r="B82" s="331"/>
      <c r="C82" s="331"/>
      <c r="S82" s="331"/>
      <c r="T82" s="331"/>
      <c r="U82" s="331"/>
      <c r="V82" s="331"/>
      <c r="W82" s="331"/>
      <c r="X82" s="331"/>
    </row>
    <row r="83" spans="2:24" x14ac:dyDescent="0.25">
      <c r="B83" s="331"/>
      <c r="C83" s="331"/>
      <c r="S83" s="331"/>
      <c r="T83" s="331"/>
      <c r="U83" s="331"/>
      <c r="V83" s="331"/>
      <c r="W83" s="331"/>
      <c r="X83" s="331"/>
    </row>
    <row r="84" spans="2:24" x14ac:dyDescent="0.25">
      <c r="B84" s="331"/>
      <c r="C84" s="331"/>
      <c r="S84" s="331"/>
      <c r="T84" s="331"/>
      <c r="U84" s="331"/>
      <c r="V84" s="331"/>
      <c r="W84" s="331"/>
      <c r="X84" s="331"/>
    </row>
    <row r="85" spans="2:24" x14ac:dyDescent="0.25">
      <c r="B85" s="331"/>
      <c r="C85" s="331"/>
      <c r="S85" s="331"/>
      <c r="T85" s="331"/>
      <c r="U85" s="331"/>
      <c r="V85" s="331"/>
      <c r="W85" s="331"/>
      <c r="X85" s="331"/>
    </row>
    <row r="86" spans="2:24" x14ac:dyDescent="0.25">
      <c r="B86" s="331"/>
      <c r="C86" s="331"/>
      <c r="S86" s="331"/>
      <c r="T86" s="331"/>
      <c r="U86" s="331"/>
      <c r="V86" s="331"/>
      <c r="W86" s="331"/>
      <c r="X86" s="331"/>
    </row>
    <row r="87" spans="2:24" x14ac:dyDescent="0.25">
      <c r="B87" s="331"/>
      <c r="C87" s="331"/>
      <c r="S87" s="331"/>
      <c r="T87" s="331"/>
      <c r="U87" s="331"/>
      <c r="V87" s="331"/>
      <c r="W87" s="331"/>
      <c r="X87" s="331"/>
    </row>
    <row r="88" spans="2:24" x14ac:dyDescent="0.25">
      <c r="B88" s="331"/>
      <c r="C88" s="331"/>
      <c r="S88" s="331"/>
      <c r="T88" s="331"/>
      <c r="U88" s="331"/>
      <c r="V88" s="331"/>
      <c r="W88" s="331"/>
      <c r="X88" s="331"/>
    </row>
    <row r="89" spans="2:24" x14ac:dyDescent="0.25">
      <c r="B89" s="331"/>
      <c r="C89" s="331"/>
      <c r="S89" s="331"/>
      <c r="T89" s="331"/>
      <c r="U89" s="331"/>
      <c r="V89" s="331"/>
      <c r="W89" s="331"/>
      <c r="X89" s="331"/>
    </row>
    <row r="90" spans="2:24" x14ac:dyDescent="0.25">
      <c r="B90" s="331"/>
      <c r="C90" s="331"/>
      <c r="S90" s="331"/>
      <c r="T90" s="331"/>
      <c r="U90" s="331"/>
      <c r="V90" s="331"/>
      <c r="W90" s="331"/>
      <c r="X90" s="331"/>
    </row>
    <row r="91" spans="2:24" x14ac:dyDescent="0.25">
      <c r="B91" s="331"/>
      <c r="C91" s="331"/>
      <c r="S91" s="331"/>
      <c r="T91" s="331"/>
      <c r="U91" s="331"/>
      <c r="V91" s="331"/>
      <c r="W91" s="331"/>
      <c r="X91" s="331"/>
    </row>
    <row r="92" spans="2:24" x14ac:dyDescent="0.25">
      <c r="B92" s="331"/>
      <c r="C92" s="331"/>
      <c r="S92" s="331"/>
      <c r="T92" s="331"/>
      <c r="U92" s="331"/>
      <c r="V92" s="331"/>
      <c r="W92" s="331"/>
      <c r="X92" s="331"/>
    </row>
    <row r="93" spans="2:24" x14ac:dyDescent="0.25">
      <c r="B93" s="331"/>
      <c r="C93" s="331"/>
      <c r="S93" s="331"/>
      <c r="T93" s="331"/>
      <c r="U93" s="331"/>
      <c r="V93" s="331"/>
      <c r="W93" s="331"/>
      <c r="X93" s="331"/>
    </row>
    <row r="94" spans="2:24" x14ac:dyDescent="0.25">
      <c r="B94" s="331"/>
      <c r="C94" s="331"/>
      <c r="S94" s="331"/>
      <c r="T94" s="331"/>
      <c r="U94" s="331"/>
      <c r="V94" s="331"/>
      <c r="W94" s="331"/>
      <c r="X94" s="331"/>
    </row>
    <row r="95" spans="2:24" x14ac:dyDescent="0.25">
      <c r="B95" s="331"/>
      <c r="C95" s="331"/>
      <c r="S95" s="331"/>
      <c r="T95" s="331"/>
      <c r="U95" s="331"/>
      <c r="V95" s="331"/>
      <c r="W95" s="331"/>
      <c r="X95" s="331"/>
    </row>
    <row r="96" spans="2:24" x14ac:dyDescent="0.25">
      <c r="B96" s="331"/>
      <c r="C96" s="331"/>
      <c r="S96" s="331"/>
      <c r="T96" s="331"/>
      <c r="U96" s="331"/>
      <c r="V96" s="331"/>
      <c r="W96" s="331"/>
      <c r="X96" s="331"/>
    </row>
    <row r="97" spans="2:24" x14ac:dyDescent="0.25">
      <c r="B97" s="331"/>
      <c r="C97" s="331"/>
      <c r="S97" s="331"/>
      <c r="T97" s="331"/>
      <c r="U97" s="331"/>
      <c r="V97" s="331"/>
      <c r="W97" s="331"/>
      <c r="X97" s="331"/>
    </row>
    <row r="98" spans="2:24" x14ac:dyDescent="0.25">
      <c r="B98" s="331"/>
      <c r="C98" s="331"/>
      <c r="S98" s="331"/>
      <c r="T98" s="331"/>
      <c r="U98" s="331"/>
      <c r="V98" s="331"/>
      <c r="W98" s="331"/>
      <c r="X98" s="331"/>
    </row>
    <row r="99" spans="2:24" x14ac:dyDescent="0.25">
      <c r="B99" s="331"/>
      <c r="C99" s="331"/>
      <c r="S99" s="331"/>
      <c r="T99" s="331"/>
      <c r="U99" s="331"/>
      <c r="V99" s="331"/>
      <c r="W99" s="331"/>
      <c r="X99" s="331"/>
    </row>
    <row r="100" spans="2:24" x14ac:dyDescent="0.25">
      <c r="B100" s="331"/>
      <c r="C100" s="331"/>
      <c r="S100" s="331"/>
      <c r="T100" s="331"/>
      <c r="U100" s="331"/>
      <c r="V100" s="331"/>
      <c r="W100" s="331"/>
      <c r="X100" s="331"/>
    </row>
    <row r="101" spans="2:24" x14ac:dyDescent="0.25">
      <c r="B101" s="331"/>
      <c r="C101" s="331"/>
      <c r="S101" s="331"/>
      <c r="T101" s="331"/>
      <c r="U101" s="331"/>
      <c r="V101" s="331"/>
      <c r="W101" s="331"/>
      <c r="X101" s="331"/>
    </row>
    <row r="102" spans="2:24" x14ac:dyDescent="0.25">
      <c r="B102" s="331"/>
      <c r="C102" s="331"/>
      <c r="S102" s="331"/>
      <c r="T102" s="331"/>
      <c r="U102" s="331"/>
      <c r="V102" s="331"/>
      <c r="W102" s="331"/>
      <c r="X102" s="331"/>
    </row>
    <row r="103" spans="2:24" x14ac:dyDescent="0.25">
      <c r="B103" s="331"/>
      <c r="C103" s="331"/>
      <c r="S103" s="331"/>
      <c r="T103" s="331"/>
      <c r="U103" s="331"/>
      <c r="V103" s="331"/>
      <c r="W103" s="331"/>
      <c r="X103" s="331"/>
    </row>
    <row r="104" spans="2:24" x14ac:dyDescent="0.25">
      <c r="B104" s="331"/>
      <c r="C104" s="331"/>
      <c r="S104" s="331"/>
      <c r="T104" s="331"/>
      <c r="U104" s="331"/>
      <c r="V104" s="331"/>
      <c r="W104" s="331"/>
      <c r="X104" s="331"/>
    </row>
    <row r="105" spans="2:24" x14ac:dyDescent="0.25">
      <c r="B105" s="331"/>
      <c r="C105" s="331"/>
      <c r="S105" s="331"/>
      <c r="T105" s="331"/>
      <c r="U105" s="331"/>
      <c r="V105" s="331"/>
      <c r="W105" s="331"/>
      <c r="X105" s="331"/>
    </row>
    <row r="106" spans="2:24" x14ac:dyDescent="0.25">
      <c r="B106" s="331"/>
      <c r="C106" s="331"/>
      <c r="S106" s="331"/>
      <c r="T106" s="331"/>
      <c r="U106" s="331"/>
      <c r="V106" s="331"/>
      <c r="W106" s="331"/>
      <c r="X106" s="331"/>
    </row>
    <row r="107" spans="2:24" x14ac:dyDescent="0.25">
      <c r="B107" s="331"/>
      <c r="C107" s="331"/>
      <c r="E107" t="s">
        <v>370</v>
      </c>
      <c r="S107" s="331"/>
      <c r="T107" s="331"/>
      <c r="U107" s="331"/>
      <c r="V107" s="331"/>
      <c r="W107" s="331"/>
      <c r="X107" s="331"/>
    </row>
    <row r="108" spans="2:24" x14ac:dyDescent="0.25">
      <c r="B108" s="331"/>
      <c r="C108" s="331"/>
      <c r="S108" s="331"/>
      <c r="T108" s="331"/>
      <c r="U108" s="331"/>
      <c r="V108" s="331"/>
      <c r="W108" s="331"/>
      <c r="X108" s="331"/>
    </row>
    <row r="109" spans="2:24" x14ac:dyDescent="0.25">
      <c r="B109" s="331"/>
      <c r="C109" s="331"/>
      <c r="D109" s="12" t="s">
        <v>371</v>
      </c>
      <c r="E109" s="13"/>
      <c r="F109" s="13"/>
      <c r="G109" s="13"/>
      <c r="H109" s="13"/>
      <c r="I109" s="13"/>
      <c r="J109" s="13"/>
      <c r="K109" s="13"/>
      <c r="L109" s="13"/>
      <c r="M109" s="13"/>
      <c r="N109" s="13"/>
      <c r="O109" s="13"/>
      <c r="P109" s="13"/>
      <c r="Q109" s="13"/>
      <c r="R109" s="13"/>
      <c r="S109" s="331"/>
      <c r="T109" s="331"/>
      <c r="U109" s="331"/>
      <c r="V109" s="331"/>
      <c r="W109" s="331"/>
      <c r="X109" s="331"/>
    </row>
    <row r="110" spans="2:24" x14ac:dyDescent="0.25">
      <c r="B110" s="331"/>
      <c r="C110" s="331"/>
      <c r="D110" t="s">
        <v>372</v>
      </c>
      <c r="S110" s="331"/>
      <c r="T110" s="331"/>
      <c r="U110" s="331"/>
      <c r="V110" s="331"/>
      <c r="W110" s="331"/>
      <c r="X110" s="331"/>
    </row>
    <row r="111" spans="2:24" x14ac:dyDescent="0.25">
      <c r="B111" s="331"/>
      <c r="C111" s="331"/>
      <c r="D111" t="s">
        <v>373</v>
      </c>
      <c r="S111" s="331"/>
      <c r="T111" s="331"/>
      <c r="U111" s="331"/>
      <c r="V111" s="331"/>
      <c r="W111" s="331"/>
      <c r="X111" s="331"/>
    </row>
    <row r="112" spans="2:24" x14ac:dyDescent="0.25">
      <c r="B112" s="331"/>
      <c r="C112" s="331"/>
      <c r="S112" s="331"/>
      <c r="T112" s="331"/>
      <c r="U112" s="331"/>
      <c r="V112" s="331"/>
      <c r="W112" s="331"/>
      <c r="X112" s="331"/>
    </row>
    <row r="113" spans="2:24" x14ac:dyDescent="0.25">
      <c r="B113" s="331"/>
      <c r="C113" s="331"/>
      <c r="D113" t="s">
        <v>374</v>
      </c>
      <c r="S113" s="331"/>
      <c r="T113" s="331"/>
      <c r="U113" s="331"/>
      <c r="V113" s="331"/>
      <c r="W113" s="331"/>
      <c r="X113" s="331"/>
    </row>
    <row r="114" spans="2:24" x14ac:dyDescent="0.25">
      <c r="B114" s="331"/>
      <c r="C114" s="331"/>
      <c r="S114" s="331"/>
      <c r="T114" s="331"/>
      <c r="U114" s="331"/>
      <c r="V114" s="331"/>
      <c r="W114" s="331"/>
      <c r="X114" s="331"/>
    </row>
    <row r="115" spans="2:24" x14ac:dyDescent="0.25">
      <c r="B115" s="331"/>
      <c r="C115" s="331"/>
      <c r="S115" s="331"/>
      <c r="T115" s="331"/>
      <c r="U115" s="331"/>
      <c r="V115" s="331"/>
      <c r="W115" s="331"/>
      <c r="X115" s="331"/>
    </row>
    <row r="116" spans="2:24" x14ac:dyDescent="0.25">
      <c r="B116" s="331"/>
      <c r="C116" s="331"/>
      <c r="S116" s="331"/>
      <c r="T116" s="331"/>
      <c r="U116" s="331"/>
      <c r="V116" s="331"/>
      <c r="W116" s="331"/>
      <c r="X116" s="331"/>
    </row>
    <row r="117" spans="2:24" x14ac:dyDescent="0.25">
      <c r="B117" s="331"/>
      <c r="C117" s="331"/>
      <c r="S117" s="331"/>
      <c r="T117" s="331"/>
      <c r="U117" s="331"/>
      <c r="V117" s="331"/>
      <c r="W117" s="331"/>
      <c r="X117" s="331"/>
    </row>
    <row r="118" spans="2:24" x14ac:dyDescent="0.25">
      <c r="B118" s="331"/>
      <c r="C118" s="331"/>
      <c r="S118" s="331"/>
      <c r="T118" s="331"/>
      <c r="U118" s="331"/>
      <c r="V118" s="331"/>
      <c r="W118" s="331"/>
      <c r="X118" s="331"/>
    </row>
    <row r="119" spans="2:24" x14ac:dyDescent="0.25">
      <c r="B119" s="331"/>
      <c r="C119" s="331"/>
      <c r="S119" s="331"/>
      <c r="T119" s="331"/>
      <c r="U119" s="331"/>
      <c r="V119" s="331"/>
      <c r="W119" s="331"/>
      <c r="X119" s="331"/>
    </row>
    <row r="120" spans="2:24" x14ac:dyDescent="0.25">
      <c r="B120" s="331"/>
      <c r="C120" s="331"/>
      <c r="S120" s="331"/>
      <c r="T120" s="331"/>
      <c r="U120" s="331"/>
      <c r="V120" s="331"/>
      <c r="W120" s="331"/>
      <c r="X120" s="331"/>
    </row>
    <row r="121" spans="2:24" x14ac:dyDescent="0.25">
      <c r="B121" s="331"/>
      <c r="C121" s="331"/>
      <c r="S121" s="331"/>
      <c r="T121" s="331"/>
      <c r="U121" s="331"/>
      <c r="V121" s="331"/>
      <c r="W121" s="331"/>
      <c r="X121" s="331"/>
    </row>
    <row r="122" spans="2:24" x14ac:dyDescent="0.25">
      <c r="B122" s="331"/>
      <c r="C122" s="331"/>
      <c r="S122" s="331"/>
      <c r="T122" s="331"/>
      <c r="U122" s="331"/>
      <c r="V122" s="331"/>
      <c r="W122" s="331"/>
      <c r="X122" s="331"/>
    </row>
    <row r="123" spans="2:24" x14ac:dyDescent="0.25">
      <c r="B123" s="331"/>
      <c r="C123" s="331"/>
      <c r="S123" s="331"/>
      <c r="T123" s="331"/>
      <c r="U123" s="331"/>
      <c r="V123" s="331"/>
      <c r="W123" s="331"/>
      <c r="X123" s="331"/>
    </row>
    <row r="124" spans="2:24" x14ac:dyDescent="0.25">
      <c r="B124" s="331"/>
      <c r="C124" s="331"/>
      <c r="S124" s="331"/>
      <c r="T124" s="331"/>
      <c r="U124" s="331"/>
      <c r="V124" s="331"/>
      <c r="W124" s="331"/>
      <c r="X124" s="331"/>
    </row>
    <row r="125" spans="2:24" x14ac:dyDescent="0.25">
      <c r="B125" s="331"/>
      <c r="C125" s="331"/>
      <c r="S125" s="331"/>
      <c r="T125" s="331"/>
      <c r="U125" s="331"/>
      <c r="V125" s="331"/>
      <c r="W125" s="331"/>
      <c r="X125" s="331"/>
    </row>
    <row r="126" spans="2:24" x14ac:dyDescent="0.25">
      <c r="B126" s="331"/>
      <c r="C126" s="331"/>
      <c r="S126" s="331"/>
      <c r="T126" s="331"/>
      <c r="U126" s="331"/>
      <c r="V126" s="331"/>
      <c r="W126" s="331"/>
      <c r="X126" s="331"/>
    </row>
    <row r="127" spans="2:24" x14ac:dyDescent="0.25">
      <c r="B127" s="331"/>
      <c r="C127" s="331"/>
      <c r="S127" s="331"/>
      <c r="T127" s="331"/>
      <c r="U127" s="331"/>
      <c r="V127" s="331"/>
      <c r="W127" s="331"/>
      <c r="X127" s="331"/>
    </row>
    <row r="128" spans="2:24" x14ac:dyDescent="0.25">
      <c r="B128" s="331"/>
      <c r="C128" s="331"/>
      <c r="S128" s="331"/>
      <c r="T128" s="331"/>
      <c r="U128" s="331"/>
      <c r="V128" s="331"/>
      <c r="W128" s="331"/>
      <c r="X128" s="331"/>
    </row>
    <row r="129" spans="2:24" x14ac:dyDescent="0.25">
      <c r="B129" s="331"/>
      <c r="C129" s="331"/>
      <c r="S129" s="331"/>
      <c r="T129" s="331"/>
      <c r="U129" s="331"/>
      <c r="V129" s="331"/>
      <c r="W129" s="331"/>
      <c r="X129" s="331"/>
    </row>
    <row r="130" spans="2:24" x14ac:dyDescent="0.25">
      <c r="B130" s="331"/>
      <c r="C130" s="331"/>
      <c r="S130" s="331"/>
      <c r="T130" s="331"/>
      <c r="U130" s="331"/>
      <c r="V130" s="331"/>
      <c r="W130" s="331"/>
      <c r="X130" s="331"/>
    </row>
    <row r="131" spans="2:24" x14ac:dyDescent="0.25">
      <c r="B131" s="331"/>
      <c r="C131" s="331"/>
      <c r="S131" s="331"/>
      <c r="T131" s="331"/>
      <c r="U131" s="331"/>
      <c r="V131" s="331"/>
      <c r="W131" s="331"/>
      <c r="X131" s="331"/>
    </row>
    <row r="132" spans="2:24" x14ac:dyDescent="0.25">
      <c r="B132" s="331"/>
      <c r="C132" s="331"/>
      <c r="S132" s="331"/>
      <c r="T132" s="331"/>
      <c r="U132" s="331"/>
      <c r="V132" s="331"/>
      <c r="W132" s="331"/>
      <c r="X132" s="331"/>
    </row>
    <row r="133" spans="2:24" x14ac:dyDescent="0.25">
      <c r="B133" s="331"/>
      <c r="C133" s="331"/>
      <c r="S133" s="331"/>
      <c r="T133" s="331"/>
      <c r="U133" s="331"/>
      <c r="V133" s="331"/>
      <c r="W133" s="331"/>
      <c r="X133" s="331"/>
    </row>
    <row r="134" spans="2:24" x14ac:dyDescent="0.25">
      <c r="B134" s="331"/>
      <c r="C134" s="331"/>
      <c r="S134" s="331"/>
      <c r="T134" s="331"/>
      <c r="U134" s="331"/>
      <c r="V134" s="331"/>
      <c r="W134" s="331"/>
      <c r="X134" s="331"/>
    </row>
    <row r="135" spans="2:24" x14ac:dyDescent="0.25">
      <c r="B135" s="331"/>
      <c r="C135" s="331"/>
      <c r="S135" s="331"/>
      <c r="T135" s="331"/>
      <c r="U135" s="331"/>
      <c r="V135" s="331"/>
      <c r="W135" s="331"/>
      <c r="X135" s="331"/>
    </row>
    <row r="136" spans="2:24" x14ac:dyDescent="0.25">
      <c r="B136" s="331"/>
      <c r="C136" s="331"/>
      <c r="S136" s="331"/>
      <c r="T136" s="331"/>
      <c r="U136" s="331"/>
      <c r="V136" s="331"/>
      <c r="W136" s="331"/>
      <c r="X136" s="331"/>
    </row>
    <row r="137" spans="2:24" x14ac:dyDescent="0.25">
      <c r="B137" s="331"/>
      <c r="C137" s="331"/>
      <c r="S137" s="331"/>
      <c r="T137" s="331"/>
      <c r="U137" s="331"/>
      <c r="V137" s="331"/>
      <c r="W137" s="331"/>
      <c r="X137" s="331"/>
    </row>
    <row r="138" spans="2:24" x14ac:dyDescent="0.25">
      <c r="B138" s="331"/>
      <c r="C138" s="331"/>
      <c r="S138" s="331"/>
      <c r="T138" s="331"/>
      <c r="U138" s="331"/>
      <c r="V138" s="331"/>
      <c r="W138" s="331"/>
      <c r="X138" s="331"/>
    </row>
    <row r="139" spans="2:24" x14ac:dyDescent="0.25">
      <c r="B139" s="331"/>
      <c r="C139" s="331"/>
      <c r="S139" s="331"/>
      <c r="T139" s="331"/>
      <c r="U139" s="331"/>
      <c r="V139" s="331"/>
      <c r="W139" s="331"/>
      <c r="X139" s="331"/>
    </row>
    <row r="140" spans="2:24" x14ac:dyDescent="0.25">
      <c r="B140" s="331"/>
      <c r="C140" s="331"/>
      <c r="S140" s="331"/>
      <c r="T140" s="331"/>
      <c r="U140" s="331"/>
      <c r="V140" s="331"/>
      <c r="W140" s="331"/>
      <c r="X140" s="331"/>
    </row>
    <row r="141" spans="2:24" x14ac:dyDescent="0.25">
      <c r="B141" s="331"/>
      <c r="C141" s="331"/>
      <c r="S141" s="331"/>
      <c r="T141" s="331"/>
      <c r="U141" s="331"/>
      <c r="V141" s="331"/>
      <c r="W141" s="331"/>
      <c r="X141" s="331"/>
    </row>
    <row r="142" spans="2:24" x14ac:dyDescent="0.25">
      <c r="B142" s="331"/>
      <c r="C142" s="331"/>
      <c r="S142" s="331"/>
      <c r="T142" s="331"/>
      <c r="U142" s="331"/>
      <c r="V142" s="331"/>
      <c r="W142" s="331"/>
      <c r="X142" s="331"/>
    </row>
    <row r="143" spans="2:24" x14ac:dyDescent="0.25">
      <c r="B143" s="331"/>
      <c r="C143" s="331"/>
      <c r="S143" s="331"/>
      <c r="T143" s="331"/>
      <c r="U143" s="331"/>
      <c r="V143" s="331"/>
      <c r="W143" s="331"/>
      <c r="X143" s="331"/>
    </row>
    <row r="144" spans="2:24" x14ac:dyDescent="0.25">
      <c r="B144" s="337"/>
      <c r="C144" s="331"/>
      <c r="D144" s="336"/>
      <c r="E144" s="331"/>
      <c r="F144" s="331"/>
      <c r="G144" s="331"/>
      <c r="H144" s="331"/>
      <c r="I144" s="331"/>
      <c r="J144" s="331"/>
      <c r="K144" s="331"/>
      <c r="L144" s="331"/>
      <c r="M144" s="331"/>
      <c r="N144" s="331"/>
      <c r="O144" s="331"/>
      <c r="P144" s="331"/>
      <c r="Q144" s="331"/>
      <c r="R144" s="331"/>
      <c r="S144" s="338"/>
      <c r="T144" s="331"/>
      <c r="U144" s="331"/>
      <c r="V144" s="331"/>
      <c r="W144" s="331"/>
      <c r="X144" s="331"/>
    </row>
    <row r="145" spans="2:24" x14ac:dyDescent="0.25">
      <c r="B145" s="331"/>
      <c r="C145" s="331"/>
      <c r="D145" s="331"/>
      <c r="E145" s="331"/>
      <c r="F145" s="331"/>
      <c r="G145" s="331"/>
      <c r="H145" s="331"/>
      <c r="I145" s="331"/>
      <c r="J145" s="331"/>
      <c r="K145" s="331"/>
      <c r="L145" s="331"/>
      <c r="M145" s="331"/>
      <c r="N145" s="331"/>
      <c r="O145" s="331"/>
      <c r="P145" s="331"/>
      <c r="Q145" s="331"/>
      <c r="R145" s="331"/>
      <c r="S145" s="331"/>
      <c r="T145" s="331"/>
      <c r="U145" s="331"/>
      <c r="V145" s="331"/>
      <c r="W145" s="331"/>
      <c r="X145" s="331"/>
    </row>
    <row r="146" spans="2:24" x14ac:dyDescent="0.25">
      <c r="B146" s="331"/>
      <c r="C146" s="331"/>
      <c r="D146" s="331"/>
      <c r="E146" s="331"/>
      <c r="F146" s="331"/>
      <c r="G146" s="331"/>
      <c r="H146" s="331"/>
      <c r="I146" s="331"/>
      <c r="J146" s="331"/>
      <c r="K146" s="331"/>
      <c r="L146" s="331"/>
      <c r="M146" s="331"/>
      <c r="N146" s="331"/>
      <c r="O146" s="331"/>
      <c r="P146" s="331"/>
      <c r="Q146" s="331"/>
      <c r="R146" s="331"/>
      <c r="S146" s="331"/>
      <c r="T146" s="331"/>
      <c r="U146" s="331"/>
      <c r="V146" s="331"/>
      <c r="W146" s="331"/>
      <c r="X146" s="331"/>
    </row>
    <row r="147" spans="2:24" x14ac:dyDescent="0.25">
      <c r="B147" s="331"/>
      <c r="C147" s="331"/>
      <c r="D147" s="331"/>
      <c r="E147" s="331"/>
      <c r="F147" s="331"/>
      <c r="G147" s="331"/>
      <c r="H147" s="331"/>
      <c r="I147" s="331"/>
      <c r="J147" s="331"/>
      <c r="K147" s="331"/>
      <c r="L147" s="331"/>
      <c r="M147" s="331"/>
      <c r="N147" s="331"/>
      <c r="O147" s="331"/>
      <c r="P147" s="331"/>
      <c r="Q147" s="331"/>
      <c r="R147" s="331"/>
      <c r="S147" s="331"/>
      <c r="T147" s="331"/>
      <c r="U147" s="331"/>
      <c r="V147" s="331"/>
      <c r="W147" s="331"/>
      <c r="X147" s="331"/>
    </row>
    <row r="148" spans="2:24" x14ac:dyDescent="0.25">
      <c r="B148" s="334"/>
      <c r="C148" s="331"/>
      <c r="D148" s="331"/>
      <c r="E148" s="331"/>
      <c r="F148" s="331"/>
      <c r="G148" s="331"/>
      <c r="H148" s="331"/>
      <c r="I148" s="331"/>
      <c r="J148" s="331"/>
      <c r="K148" s="331"/>
      <c r="L148" s="331"/>
      <c r="M148" s="331"/>
      <c r="N148" s="331"/>
      <c r="O148" s="331"/>
      <c r="P148" s="331"/>
      <c r="Q148" s="331"/>
      <c r="R148" s="331"/>
      <c r="S148" s="331"/>
      <c r="T148" s="331"/>
      <c r="U148" s="332"/>
      <c r="V148" s="331"/>
      <c r="W148" s="331"/>
      <c r="X148" s="331"/>
    </row>
    <row r="149" spans="2:24" x14ac:dyDescent="0.25">
      <c r="B149" s="331"/>
      <c r="C149" s="331"/>
      <c r="D149" s="331"/>
      <c r="E149" s="331"/>
      <c r="F149" s="331"/>
      <c r="G149" s="331"/>
      <c r="H149" s="331"/>
      <c r="I149" s="331"/>
      <c r="J149" s="331"/>
      <c r="K149" s="331"/>
      <c r="L149" s="331"/>
      <c r="M149" s="331"/>
      <c r="N149" s="331"/>
      <c r="O149" s="331"/>
      <c r="P149" s="331"/>
      <c r="Q149" s="331"/>
      <c r="R149" s="331"/>
      <c r="S149" s="331"/>
      <c r="T149" s="331"/>
      <c r="U149" s="331"/>
      <c r="V149" s="331"/>
      <c r="W149" s="331"/>
      <c r="X149" s="331"/>
    </row>
    <row r="150" spans="2:24" x14ac:dyDescent="0.25">
      <c r="B150" s="331"/>
      <c r="C150" s="331"/>
      <c r="D150" s="331"/>
      <c r="E150" s="331"/>
      <c r="F150" s="331"/>
      <c r="G150" s="331"/>
      <c r="H150" s="331"/>
      <c r="I150" s="331"/>
      <c r="J150" s="331"/>
      <c r="K150" s="331"/>
      <c r="L150" s="331"/>
      <c r="M150" s="331"/>
      <c r="N150" s="331"/>
      <c r="O150" s="331"/>
      <c r="P150" s="331"/>
      <c r="Q150" s="331"/>
      <c r="R150" s="331"/>
      <c r="S150" s="331"/>
      <c r="T150" s="331"/>
      <c r="U150" s="331"/>
      <c r="V150" s="331"/>
      <c r="W150" s="331"/>
      <c r="X150" s="331"/>
    </row>
    <row r="151" spans="2:24" x14ac:dyDescent="0.25">
      <c r="B151" s="331"/>
      <c r="C151" s="331"/>
      <c r="D151" s="331"/>
      <c r="E151" s="331"/>
      <c r="F151" s="331"/>
      <c r="G151" s="331"/>
      <c r="H151" s="331"/>
      <c r="I151" s="331"/>
      <c r="J151" s="331"/>
      <c r="K151" s="331"/>
      <c r="L151" s="331"/>
      <c r="M151" s="331"/>
      <c r="N151" s="331"/>
      <c r="O151" s="331"/>
      <c r="P151" s="331"/>
      <c r="Q151" s="331"/>
      <c r="R151" s="331"/>
      <c r="S151" s="331"/>
      <c r="T151" s="331"/>
      <c r="U151" s="331"/>
      <c r="V151" s="331"/>
      <c r="W151" s="331"/>
      <c r="X151" s="331"/>
    </row>
    <row r="152" spans="2:24" x14ac:dyDescent="0.25">
      <c r="B152" s="331"/>
      <c r="C152" s="331"/>
      <c r="D152" s="331"/>
      <c r="E152" s="331"/>
      <c r="F152" s="331"/>
      <c r="G152" s="331"/>
      <c r="H152" s="331"/>
      <c r="I152" s="331"/>
      <c r="J152" s="331"/>
      <c r="K152" s="331"/>
      <c r="L152" s="331"/>
      <c r="M152" s="331"/>
      <c r="N152" s="331"/>
      <c r="O152" s="331"/>
      <c r="P152" s="331"/>
      <c r="Q152" s="331"/>
      <c r="R152" s="331"/>
      <c r="S152" s="331"/>
      <c r="T152" s="331"/>
      <c r="U152" s="331"/>
      <c r="V152" s="331"/>
      <c r="W152" s="331"/>
      <c r="X152" s="331"/>
    </row>
    <row r="153" spans="2:24" x14ac:dyDescent="0.25">
      <c r="B153" s="331"/>
      <c r="C153" s="331"/>
      <c r="D153" s="331"/>
      <c r="E153" s="331"/>
      <c r="F153" s="331"/>
      <c r="G153" s="331"/>
      <c r="H153" s="331"/>
      <c r="I153" s="331"/>
      <c r="J153" s="331"/>
      <c r="K153" s="331"/>
      <c r="L153" s="331"/>
      <c r="M153" s="331"/>
      <c r="N153" s="331"/>
      <c r="O153" s="331"/>
      <c r="P153" s="331"/>
      <c r="Q153" s="331"/>
      <c r="R153" s="331"/>
      <c r="S153" s="331"/>
      <c r="T153" s="331"/>
      <c r="U153" s="331"/>
      <c r="V153" s="331"/>
      <c r="W153" s="331"/>
      <c r="X153" s="331"/>
    </row>
    <row r="154" spans="2:24" x14ac:dyDescent="0.25">
      <c r="B154" s="331"/>
      <c r="C154" s="331"/>
      <c r="D154" s="331"/>
      <c r="E154" s="331"/>
      <c r="F154" s="331"/>
      <c r="G154" s="331"/>
      <c r="H154" s="331"/>
      <c r="I154" s="331"/>
      <c r="J154" s="331"/>
      <c r="K154" s="331"/>
      <c r="L154" s="331"/>
      <c r="M154" s="331"/>
      <c r="N154" s="331"/>
      <c r="O154" s="331"/>
      <c r="P154" s="331"/>
      <c r="Q154" s="331"/>
      <c r="R154" s="331"/>
      <c r="S154" s="331"/>
      <c r="T154" s="331"/>
      <c r="U154" s="331"/>
      <c r="V154" s="331"/>
      <c r="W154" s="331"/>
      <c r="X154" s="331"/>
    </row>
    <row r="155" spans="2:24" x14ac:dyDescent="0.25">
      <c r="B155" s="331"/>
      <c r="C155" s="331"/>
      <c r="D155" s="331"/>
      <c r="E155" s="331"/>
      <c r="F155" s="331"/>
      <c r="G155" s="331"/>
      <c r="H155" s="331"/>
      <c r="I155" s="331"/>
      <c r="J155" s="331"/>
      <c r="K155" s="331"/>
      <c r="L155" s="331"/>
      <c r="M155" s="331"/>
      <c r="N155" s="331"/>
      <c r="O155" s="331"/>
      <c r="P155" s="331"/>
      <c r="Q155" s="331"/>
      <c r="R155" s="331"/>
      <c r="S155" s="331"/>
      <c r="T155" s="331"/>
      <c r="U155" s="331"/>
      <c r="V155" s="331"/>
      <c r="W155" s="331"/>
      <c r="X155" s="331"/>
    </row>
    <row r="156" spans="2:24" x14ac:dyDescent="0.25">
      <c r="B156" s="331"/>
      <c r="C156" s="331"/>
      <c r="D156" s="331"/>
      <c r="E156" s="331"/>
      <c r="F156" s="331"/>
      <c r="G156" s="331"/>
      <c r="H156" s="331"/>
      <c r="I156" s="331"/>
      <c r="J156" s="331"/>
      <c r="K156" s="331"/>
      <c r="L156" s="331"/>
      <c r="M156" s="331"/>
      <c r="N156" s="331"/>
      <c r="O156" s="331"/>
      <c r="P156" s="331"/>
      <c r="Q156" s="331"/>
      <c r="R156" s="331"/>
      <c r="S156" s="331"/>
      <c r="T156" s="331"/>
      <c r="U156" s="331"/>
      <c r="V156" s="331"/>
      <c r="W156" s="331"/>
      <c r="X156" s="331"/>
    </row>
  </sheetData>
  <sheetProtection sheet="1" objects="1" scenarios="1"/>
  <mergeCells count="11">
    <mergeCell ref="S6:T9"/>
    <mergeCell ref="U148:X156"/>
    <mergeCell ref="U6:X147"/>
    <mergeCell ref="B148:T156"/>
    <mergeCell ref="B10:C143"/>
    <mergeCell ref="S10:T143"/>
    <mergeCell ref="D144:R147"/>
    <mergeCell ref="B144:C147"/>
    <mergeCell ref="S144:T147"/>
    <mergeCell ref="D6:R9"/>
    <mergeCell ref="B6:C9"/>
  </mergeCells>
  <pageMargins left="0.7" right="0.7" top="0.75" bottom="0.75" header="0.3" footer="0.3"/>
  <pageSetup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9"/>
  <dimension ref="A1:F17"/>
  <sheetViews>
    <sheetView workbookViewId="0">
      <selection activeCell="I43" sqref="I43"/>
    </sheetView>
  </sheetViews>
  <sheetFormatPr defaultRowHeight="15" x14ac:dyDescent="0.25"/>
  <cols>
    <col min="1" max="1" width="9.7109375" style="5" bestFit="1" customWidth="1"/>
    <col min="2" max="2" width="19.140625" style="5" bestFit="1" customWidth="1"/>
    <col min="3" max="3" width="18.140625" style="5" bestFit="1" customWidth="1"/>
    <col min="4" max="4" width="22.28515625" style="5" bestFit="1" customWidth="1"/>
    <col min="5" max="5" width="22.7109375" style="5" bestFit="1" customWidth="1"/>
    <col min="6" max="6" width="8" style="5" bestFit="1" customWidth="1"/>
    <col min="7" max="16384" width="9.140625" style="5"/>
  </cols>
  <sheetData>
    <row r="1" spans="1:6" x14ac:dyDescent="0.25">
      <c r="A1" s="3"/>
      <c r="B1" s="3"/>
      <c r="C1" s="3"/>
      <c r="D1" s="3"/>
      <c r="E1" s="3"/>
      <c r="F1" s="3"/>
    </row>
    <row r="2" spans="1:6" x14ac:dyDescent="0.25">
      <c r="A2" s="6" t="s">
        <v>215</v>
      </c>
      <c r="B2" s="7"/>
      <c r="C2" s="7"/>
      <c r="D2" s="7"/>
      <c r="E2" s="7"/>
      <c r="F2" s="7"/>
    </row>
    <row r="3" spans="1:6" x14ac:dyDescent="0.25">
      <c r="A3" s="8" t="s">
        <v>216</v>
      </c>
      <c r="B3" s="8" t="s">
        <v>217</v>
      </c>
      <c r="C3" s="8" t="s">
        <v>218</v>
      </c>
      <c r="D3" s="8" t="s">
        <v>78</v>
      </c>
      <c r="E3" s="8" t="s">
        <v>219</v>
      </c>
      <c r="F3" s="8" t="s">
        <v>220</v>
      </c>
    </row>
    <row r="4" spans="1:6" x14ac:dyDescent="0.25">
      <c r="A4" s="9" t="s">
        <v>221</v>
      </c>
      <c r="B4" s="9" t="s">
        <v>222</v>
      </c>
      <c r="C4" s="10" t="s">
        <v>223</v>
      </c>
      <c r="D4" s="9" t="s">
        <v>224</v>
      </c>
      <c r="E4" s="9" t="s">
        <v>225</v>
      </c>
      <c r="F4" s="9" t="s">
        <v>226</v>
      </c>
    </row>
    <row r="5" spans="1:6" x14ac:dyDescent="0.25">
      <c r="A5" s="9">
        <v>1418</v>
      </c>
      <c r="B5" s="9" t="s">
        <v>227</v>
      </c>
      <c r="C5" s="11" t="s">
        <v>228</v>
      </c>
      <c r="D5" s="9" t="s">
        <v>205</v>
      </c>
      <c r="E5" s="9" t="s">
        <v>229</v>
      </c>
      <c r="F5" s="9" t="s">
        <v>230</v>
      </c>
    </row>
    <row r="6" spans="1:6" x14ac:dyDescent="0.25">
      <c r="A6" s="9">
        <v>1401</v>
      </c>
      <c r="B6" s="9" t="s">
        <v>231</v>
      </c>
      <c r="C6" s="10" t="s">
        <v>223</v>
      </c>
      <c r="D6" s="9" t="s">
        <v>205</v>
      </c>
      <c r="E6" s="9" t="s">
        <v>232</v>
      </c>
      <c r="F6" s="9" t="s">
        <v>226</v>
      </c>
    </row>
    <row r="7" spans="1:6" x14ac:dyDescent="0.25">
      <c r="A7" s="9">
        <v>1418</v>
      </c>
      <c r="B7" s="9" t="s">
        <v>233</v>
      </c>
      <c r="C7" s="11" t="s">
        <v>228</v>
      </c>
      <c r="D7" s="9"/>
      <c r="E7" s="9" t="s">
        <v>229</v>
      </c>
      <c r="F7" s="9" t="s">
        <v>230</v>
      </c>
    </row>
    <row r="8" spans="1:6" x14ac:dyDescent="0.25">
      <c r="A8" s="9">
        <v>1418</v>
      </c>
      <c r="B8" s="9" t="s">
        <v>234</v>
      </c>
      <c r="C8" s="11" t="s">
        <v>228</v>
      </c>
      <c r="D8" s="9" t="s">
        <v>225</v>
      </c>
      <c r="E8" s="9" t="s">
        <v>229</v>
      </c>
      <c r="F8" s="9" t="s">
        <v>230</v>
      </c>
    </row>
    <row r="9" spans="1:6" x14ac:dyDescent="0.25">
      <c r="A9" s="7"/>
      <c r="B9" s="7"/>
      <c r="C9" s="7"/>
      <c r="D9" s="7"/>
      <c r="E9" s="7"/>
      <c r="F9" s="7"/>
    </row>
    <row r="10" spans="1:6" x14ac:dyDescent="0.25">
      <c r="A10" s="7"/>
      <c r="B10" s="7"/>
      <c r="C10" s="7"/>
      <c r="D10" s="7"/>
      <c r="E10" s="7"/>
      <c r="F10" s="7"/>
    </row>
    <row r="11" spans="1:6" x14ac:dyDescent="0.25">
      <c r="A11" s="340" t="s">
        <v>211</v>
      </c>
      <c r="B11" s="9" t="s">
        <v>223</v>
      </c>
      <c r="C11" s="9" t="s">
        <v>225</v>
      </c>
      <c r="D11" s="7"/>
      <c r="E11" s="7"/>
      <c r="F11" s="7"/>
    </row>
    <row r="12" spans="1:6" x14ac:dyDescent="0.25">
      <c r="A12" s="340"/>
      <c r="B12" s="9" t="s">
        <v>228</v>
      </c>
      <c r="C12" s="9" t="s">
        <v>229</v>
      </c>
      <c r="D12" s="7"/>
      <c r="E12" s="7"/>
      <c r="F12" s="7"/>
    </row>
    <row r="13" spans="1:6" x14ac:dyDescent="0.25">
      <c r="A13" s="7"/>
      <c r="B13" s="7"/>
      <c r="C13" s="7"/>
      <c r="D13" s="7"/>
      <c r="E13" s="7"/>
      <c r="F13" s="7"/>
    </row>
    <row r="14" spans="1:6" x14ac:dyDescent="0.25">
      <c r="A14" s="340" t="s">
        <v>194</v>
      </c>
      <c r="B14" s="9" t="s">
        <v>235</v>
      </c>
      <c r="C14" s="9" t="s">
        <v>225</v>
      </c>
      <c r="D14" s="7"/>
      <c r="E14" s="7"/>
      <c r="F14" s="7"/>
    </row>
    <row r="15" spans="1:6" x14ac:dyDescent="0.25">
      <c r="A15" s="340"/>
      <c r="B15" s="9" t="s">
        <v>236</v>
      </c>
      <c r="C15" s="9" t="s">
        <v>205</v>
      </c>
      <c r="D15" s="7"/>
      <c r="E15" s="7"/>
      <c r="F15" s="7"/>
    </row>
    <row r="16" spans="1:6" x14ac:dyDescent="0.25">
      <c r="A16" s="340"/>
      <c r="B16" s="9" t="s">
        <v>237</v>
      </c>
      <c r="C16" s="9" t="s">
        <v>225</v>
      </c>
      <c r="D16" s="7"/>
      <c r="E16" s="7"/>
      <c r="F16" s="7"/>
    </row>
    <row r="17" spans="1:6" x14ac:dyDescent="0.25">
      <c r="A17" s="340"/>
      <c r="B17" s="9" t="s">
        <v>238</v>
      </c>
      <c r="C17" s="9" t="s">
        <v>225</v>
      </c>
      <c r="D17" s="7"/>
      <c r="E17" s="7"/>
      <c r="F17" s="7"/>
    </row>
  </sheetData>
  <mergeCells count="2">
    <mergeCell ref="A11:A12"/>
    <mergeCell ref="A14:A17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8</vt:i4>
      </vt:variant>
    </vt:vector>
  </HeadingPairs>
  <TitlesOfParts>
    <vt:vector size="18" baseType="lpstr">
      <vt:lpstr>Bond</vt:lpstr>
      <vt:lpstr>NTN-B</vt:lpstr>
      <vt:lpstr>NTN-F</vt:lpstr>
      <vt:lpstr>NTN-C</vt:lpstr>
      <vt:lpstr>LFT</vt:lpstr>
      <vt:lpstr>LTN</vt:lpstr>
      <vt:lpstr>Debentures</vt:lpstr>
      <vt:lpstr>Ddebentures_Ratings</vt:lpstr>
      <vt:lpstr>Help</vt:lpstr>
      <vt:lpstr>RULES</vt:lpstr>
      <vt:lpstr>Bond!AMOUNT</vt:lpstr>
      <vt:lpstr>DES</vt:lpstr>
      <vt:lpstr>HLPBRD_IB</vt:lpstr>
      <vt:lpstr>HLPBRD_IR</vt:lpstr>
      <vt:lpstr>HLPBRD_OBR</vt:lpstr>
      <vt:lpstr>ISSUE</vt:lpstr>
      <vt:lpstr>QUOTE</vt:lpstr>
      <vt:lpstr>Bond!ticker</vt:lpstr>
    </vt:vector>
  </TitlesOfParts>
  <Company>Bloomberg L.P.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Portfolio-Override</dc:title>
  <dc:creator>Ciro Bussab</dc:creator>
  <cp:lastModifiedBy>Siqueira, Thiago</cp:lastModifiedBy>
  <dcterms:created xsi:type="dcterms:W3CDTF">2010-11-23T16:59:35Z</dcterms:created>
  <dcterms:modified xsi:type="dcterms:W3CDTF">2025-06-21T19:44:41Z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952764b0-b3ed-459f-ab6f-3d9557b27746</vt:lpwstr>
  </property>
</Properties>
</file>