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0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630b34756993743/Desktop/ETHZ/Transport Planning Methods/TransportPlanning/"/>
    </mc:Choice>
  </mc:AlternateContent>
  <xr:revisionPtr revIDLastSave="53" documentId="13_ncr:1_{7917CEA6-7AB6-7840-849C-A049323EA15A}" xr6:coauthVersionLast="47" xr6:coauthVersionMax="47" xr10:uidLastSave="{F11DC383-6E96-4771-AA90-3C54739522D1}"/>
  <bookViews>
    <workbookView xWindow="-110" yWindow="-110" windowWidth="19420" windowHeight="10300" activeTab="1" xr2:uid="{CB19214C-161C-4FCD-BB74-FBBD26C9B7EC}"/>
  </bookViews>
  <sheets>
    <sheet name="Project 2" sheetId="1" r:id="rId1"/>
    <sheet name="Project 3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7" i="2" l="1"/>
  <c r="C26" i="2"/>
  <c r="C25" i="2"/>
  <c r="C24" i="2"/>
  <c r="C23" i="2"/>
  <c r="C3" i="2"/>
  <c r="D37" i="1"/>
  <c r="D39" i="1"/>
  <c r="D38" i="1"/>
  <c r="K23" i="2"/>
  <c r="J22" i="2"/>
  <c r="J23" i="2"/>
  <c r="I23" i="2"/>
  <c r="B54" i="1"/>
  <c r="J38" i="1"/>
  <c r="K38" i="1" s="1"/>
  <c r="I38" i="1"/>
  <c r="K37" i="1"/>
  <c r="K25" i="2"/>
  <c r="O25" i="2" s="1"/>
  <c r="K24" i="2"/>
  <c r="K22" i="2"/>
  <c r="M25" i="2"/>
  <c r="M24" i="2"/>
  <c r="M23" i="2"/>
  <c r="P22" i="2"/>
  <c r="M22" i="2"/>
  <c r="D15" i="2"/>
  <c r="C15" i="2"/>
  <c r="Q22" i="2" l="1"/>
  <c r="O23" i="2"/>
  <c r="O24" i="2"/>
  <c r="O22" i="2"/>
  <c r="C28" i="2" l="1"/>
  <c r="C30" i="2" s="1"/>
  <c r="L38" i="1"/>
  <c r="L37" i="1"/>
  <c r="P37" i="1" s="1"/>
  <c r="A59" i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B53" i="1"/>
  <c r="C30" i="1"/>
  <c r="C31" i="1" s="1"/>
  <c r="L40" i="1"/>
  <c r="P40" i="1" s="1"/>
  <c r="Q37" i="1"/>
  <c r="N38" i="1"/>
  <c r="N39" i="1"/>
  <c r="N40" i="1"/>
  <c r="N37" i="1"/>
  <c r="H25" i="1"/>
  <c r="D7" i="1"/>
  <c r="D15" i="1" s="1"/>
  <c r="D10" i="1"/>
  <c r="D9" i="1"/>
  <c r="D8" i="1"/>
  <c r="D16" i="1" s="1"/>
  <c r="D6" i="1"/>
  <c r="D5" i="1"/>
  <c r="C4" i="2" l="1"/>
  <c r="C5" i="2" s="1"/>
  <c r="D30" i="1"/>
  <c r="D31" i="1" s="1"/>
  <c r="L39" i="1"/>
  <c r="P39" i="1" s="1"/>
  <c r="R37" i="1"/>
  <c r="P38" i="1"/>
  <c r="D17" i="1"/>
  <c r="D11" i="1"/>
  <c r="C7" i="2" l="1"/>
  <c r="B32" i="2" s="1"/>
  <c r="D41" i="1"/>
  <c r="D43" i="1" s="1"/>
  <c r="D19" i="1"/>
  <c r="D20" i="1"/>
  <c r="B108" i="1" l="1"/>
  <c r="B116" i="1"/>
  <c r="B89" i="1"/>
  <c r="B97" i="1"/>
  <c r="B74" i="1"/>
  <c r="B60" i="1"/>
  <c r="B68" i="1"/>
  <c r="B58" i="1"/>
  <c r="B112" i="1"/>
  <c r="B64" i="1"/>
  <c r="B107" i="1"/>
  <c r="B96" i="1"/>
  <c r="B67" i="1"/>
  <c r="B101" i="1"/>
  <c r="B109" i="1"/>
  <c r="B82" i="1"/>
  <c r="B90" i="1"/>
  <c r="B98" i="1"/>
  <c r="B75" i="1"/>
  <c r="B61" i="1"/>
  <c r="B69" i="1"/>
  <c r="B102" i="1"/>
  <c r="B110" i="1"/>
  <c r="B83" i="1"/>
  <c r="B91" i="1"/>
  <c r="B99" i="1"/>
  <c r="B76" i="1"/>
  <c r="B62" i="1"/>
  <c r="B57" i="1"/>
  <c r="B103" i="1"/>
  <c r="B111" i="1"/>
  <c r="B84" i="1"/>
  <c r="B92" i="1"/>
  <c r="B100" i="1"/>
  <c r="B77" i="1"/>
  <c r="B63" i="1"/>
  <c r="B104" i="1"/>
  <c r="B85" i="1"/>
  <c r="B93" i="1"/>
  <c r="B70" i="1"/>
  <c r="B78" i="1"/>
  <c r="B59" i="1"/>
  <c r="B87" i="1"/>
  <c r="B66" i="1"/>
  <c r="B105" i="1"/>
  <c r="B113" i="1"/>
  <c r="B86" i="1"/>
  <c r="B94" i="1"/>
  <c r="B71" i="1"/>
  <c r="B79" i="1"/>
  <c r="B65" i="1"/>
  <c r="B56" i="1"/>
  <c r="B106" i="1"/>
  <c r="B95" i="1"/>
  <c r="B72" i="1"/>
  <c r="B80" i="1"/>
  <c r="B115" i="1"/>
  <c r="B88" i="1"/>
  <c r="B73" i="1"/>
  <c r="B81" i="1"/>
  <c r="B114" i="1"/>
  <c r="D22" i="1"/>
  <c r="D45" i="1" l="1"/>
  <c r="B48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Heinonen  Sanelma</author>
  </authors>
  <commentList>
    <comment ref="G29" authorId="0" shapeId="0" xr:uid="{3A46DA4D-B48F-A54A-9FCC-CE416B01D5D8}">
      <text>
        <r>
          <rPr>
            <b/>
            <sz val="10"/>
            <color rgb="FF000000"/>
            <rFont val="Tahoma"/>
            <family val="2"/>
          </rPr>
          <t>Heinonen  Sanelma: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Calculated from official swiss population scenario estimates 2020 and 2050, assuming a constant growth rate</t>
        </r>
      </text>
    </comment>
    <comment ref="M36" authorId="0" shapeId="0" xr:uid="{5366BF98-3C0A-AF46-932A-978CDA55C852}">
      <text>
        <r>
          <rPr>
            <b/>
            <sz val="10"/>
            <color rgb="FF000000"/>
            <rFont val="Tahoma"/>
            <family val="2"/>
          </rPr>
          <t>Heinonen  Sanelma: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https://www.gov.uk/government/publications/greenhouse-gas-reporting-conversion-factors-2019 
</t>
        </r>
        <r>
          <rPr>
            <sz val="10"/>
            <color rgb="FF000000"/>
            <rFont val="Tahoma"/>
            <family val="2"/>
          </rPr>
          <t>UK official estimates</t>
        </r>
      </text>
    </comment>
    <comment ref="O36" authorId="0" shapeId="0" xr:uid="{5319E284-87E2-964D-B281-43173BB5DA9F}">
      <text>
        <r>
          <rPr>
            <b/>
            <sz val="10"/>
            <color rgb="FF000000"/>
            <rFont val="Tahoma"/>
            <family val="2"/>
          </rPr>
          <t>Heinonen  Sanelma: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Recommended social cost of carbon value from the EU handbook on external costs</t>
        </r>
      </text>
    </comment>
    <comment ref="Q36" authorId="0" shapeId="0" xr:uid="{FAC1B5DC-DDE7-1E47-8E75-BB508C6A80F3}">
      <text>
        <r>
          <rPr>
            <b/>
            <sz val="10"/>
            <color rgb="FF000000"/>
            <rFont val="Tahoma"/>
            <family val="2"/>
          </rPr>
          <t>Heinonen  Sanelma: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Avg of peak and off-peak, from presentation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Heinonen  Sanelma</author>
  </authors>
  <commentList>
    <comment ref="L21" authorId="0" shapeId="0" xr:uid="{FFC213B8-785A-9245-B331-3D07429FD761}">
      <text>
        <r>
          <rPr>
            <b/>
            <sz val="10"/>
            <color rgb="FF000000"/>
            <rFont val="Tahoma"/>
            <family val="2"/>
          </rPr>
          <t>Heinonen  Sanelma: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https://www.gov.uk/government/publications/greenhouse-gas-reporting-conversion-factors-2019 
</t>
        </r>
        <r>
          <rPr>
            <sz val="10"/>
            <color rgb="FF000000"/>
            <rFont val="Tahoma"/>
            <family val="2"/>
          </rPr>
          <t>UK official estimates</t>
        </r>
      </text>
    </comment>
    <comment ref="N21" authorId="0" shapeId="0" xr:uid="{482EA1DD-0C12-154A-9271-9F30C0517CFD}">
      <text>
        <r>
          <rPr>
            <b/>
            <sz val="10"/>
            <color rgb="FF000000"/>
            <rFont val="Tahoma"/>
            <family val="2"/>
          </rPr>
          <t>Heinonen  Sanelma: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Recommended social cost of carbon value from the EU handbook on external costs</t>
        </r>
      </text>
    </comment>
    <comment ref="P21" authorId="0" shapeId="0" xr:uid="{7D0ECDC4-038D-9540-AF8A-68B4DAE10E75}">
      <text>
        <r>
          <rPr>
            <b/>
            <sz val="10"/>
            <color rgb="FF000000"/>
            <rFont val="Tahoma"/>
            <family val="2"/>
          </rPr>
          <t>Heinonen  Sanelma: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Avg of peak and off-peak, from presentation</t>
        </r>
      </text>
    </comment>
  </commentList>
</comments>
</file>

<file path=xl/sharedStrings.xml><?xml version="1.0" encoding="utf-8"?>
<sst xmlns="http://schemas.openxmlformats.org/spreadsheetml/2006/main" count="152" uniqueCount="101">
  <si>
    <t>Weekly benefits</t>
  </si>
  <si>
    <t>Benefits</t>
  </si>
  <si>
    <t>Weekly costs</t>
  </si>
  <si>
    <t>Public revenue from the tax</t>
  </si>
  <si>
    <t>Car</t>
  </si>
  <si>
    <t>Public transport</t>
  </si>
  <si>
    <t>Bike</t>
  </si>
  <si>
    <t>Walk</t>
  </si>
  <si>
    <t>Value of travel time (CHF/hour)</t>
  </si>
  <si>
    <t>Emissions reductions savings</t>
  </si>
  <si>
    <t>Emissions reductions savings (CHF)</t>
  </si>
  <si>
    <t>Travel time savings</t>
  </si>
  <si>
    <t>Total</t>
  </si>
  <si>
    <t>Mode:</t>
  </si>
  <si>
    <t>Length of tunnel (m)</t>
  </si>
  <si>
    <t>Cost of tax to drivers</t>
  </si>
  <si>
    <t>Operating costs (assuming 5%)</t>
  </si>
  <si>
    <t>Benefit/cost ratio</t>
  </si>
  <si>
    <t>Tunnel construction</t>
  </si>
  <si>
    <t>EW 300 Switch (x4)</t>
  </si>
  <si>
    <t>Slab track</t>
  </si>
  <si>
    <t>Catenary</t>
  </si>
  <si>
    <t>Interlocking station</t>
  </si>
  <si>
    <t>Signals (x8)</t>
  </si>
  <si>
    <t>Costs</t>
  </si>
  <si>
    <t>CAPEX costs</t>
  </si>
  <si>
    <t>Total :</t>
  </si>
  <si>
    <t>Operating costs</t>
  </si>
  <si>
    <t>Annual discount rate</t>
  </si>
  <si>
    <t>Weekly</t>
  </si>
  <si>
    <r>
      <t xml:space="preserve">Yearly </t>
    </r>
    <r>
      <rPr>
        <sz val="11"/>
        <color theme="1"/>
        <rFont val="Calibri"/>
        <family val="2"/>
        <scheme val="minor"/>
      </rPr>
      <t>(non-discounted)</t>
    </r>
  </si>
  <si>
    <t>Project management (5%)</t>
  </si>
  <si>
    <t>Catenary renewal (today's $s, for after 10, 20, 30, 40 &amp; 50 years)</t>
  </si>
  <si>
    <t>Track renewal (today's $s, for after 15, 30 &amp; 45 years)</t>
  </si>
  <si>
    <t>Total (today's $) :</t>
  </si>
  <si>
    <t>Tax</t>
  </si>
  <si>
    <t>Assumptions:</t>
  </si>
  <si>
    <t>Costs:</t>
  </si>
  <si>
    <t>EW Switch per unit</t>
  </si>
  <si>
    <t># of EW Switch</t>
  </si>
  <si>
    <t>Tunnel construction per track km</t>
  </si>
  <si>
    <t># tracks built</t>
  </si>
  <si>
    <t>One in each direction</t>
  </si>
  <si>
    <t xml:space="preserve">Interlocking Station </t>
  </si>
  <si>
    <t>Signals</t>
  </si>
  <si>
    <t>VAT rate (tax)</t>
  </si>
  <si>
    <t>Project management cost rate</t>
  </si>
  <si>
    <t>Project:</t>
  </si>
  <si>
    <t>Public transport tunnel to connect Zürich and Bülach directly. PT travel time between Zurich and Bulach lowered by 40%</t>
  </si>
  <si>
    <t>PT</t>
  </si>
  <si>
    <t>Weekly demand (between Zürich and Bülach)</t>
  </si>
  <si>
    <t>Original</t>
  </si>
  <si>
    <t>Forecasted after tunnel</t>
  </si>
  <si>
    <t>Total (weekly)</t>
  </si>
  <si>
    <t>Total (annual)</t>
  </si>
  <si>
    <t>Benefits:</t>
  </si>
  <si>
    <t>Mean dist between zones - car (km)</t>
  </si>
  <si>
    <t>Mean dist between zones - PT (km)</t>
  </si>
  <si>
    <t>Mean dist between zones - walk (km)</t>
  </si>
  <si>
    <t>Mean dist between zones - bike (km)</t>
  </si>
  <si>
    <t>Averages calculated from alternatives data, where an alternative exists</t>
  </si>
  <si>
    <t>Mean TT between zones - car (min)</t>
  </si>
  <si>
    <t>Mean TT between zones - PT, original (min)</t>
  </si>
  <si>
    <t>Mean TT between zones - walk (min)</t>
  </si>
  <si>
    <t>Mean TT between zones - bike (min)</t>
  </si>
  <si>
    <t>Annual demand (between Zürich and Bülach) -current year</t>
  </si>
  <si>
    <t>Mean TT between zones - PT, new (min)</t>
  </si>
  <si>
    <t>Congestion savings</t>
  </si>
  <si>
    <t>CO2 emissions (g) per km</t>
  </si>
  <si>
    <t>Value of C02 emissions (CHF/ton)</t>
  </si>
  <si>
    <t>CO2 emissions per km (tons)</t>
  </si>
  <si>
    <t>Change in aggregate distance travelled (pkm)</t>
  </si>
  <si>
    <t>Emissions Reductions Savings</t>
  </si>
  <si>
    <t>Aggregate travel times savings (CHF)</t>
  </si>
  <si>
    <t>Congestion cost (CHF) per pkm</t>
  </si>
  <si>
    <t>Congestion cost savings (CHF)</t>
  </si>
  <si>
    <t>Congestion Cost savings</t>
  </si>
  <si>
    <t>Weekly Benefits</t>
  </si>
  <si>
    <t>Swiss population growth</t>
  </si>
  <si>
    <r>
      <rPr>
        <b/>
        <sz val="11"/>
        <color theme="1"/>
        <rFont val="Calibri"/>
        <family val="2"/>
        <scheme val="minor"/>
      </rPr>
      <t>Overall</t>
    </r>
    <r>
      <rPr>
        <sz val="11"/>
        <color theme="1"/>
        <rFont val="Calibri"/>
        <family val="2"/>
        <scheme val="minor"/>
      </rPr>
      <t xml:space="preserve"> (Today's $s, 60-year period)</t>
    </r>
  </si>
  <si>
    <t>Annual benefit calculations:</t>
  </si>
  <si>
    <t xml:space="preserve">Swiss population growth </t>
  </si>
  <si>
    <t>Discount rate</t>
  </si>
  <si>
    <t>Year</t>
  </si>
  <si>
    <t>Benefits (accounting for population growth and discounted to t</t>
  </si>
  <si>
    <r>
      <rPr>
        <b/>
        <sz val="11"/>
        <color rgb="FFC00000"/>
        <rFont val="Calibri"/>
        <family val="2"/>
        <scheme val="minor"/>
      </rPr>
      <t xml:space="preserve">Overall </t>
    </r>
    <r>
      <rPr>
        <sz val="11"/>
        <color rgb="FFC00000"/>
        <rFont val="Calibri"/>
        <family val="2"/>
        <scheme val="minor"/>
      </rPr>
      <t>(Today's $s, 60-year period)</t>
    </r>
  </si>
  <si>
    <t xml:space="preserve">Project: </t>
  </si>
  <si>
    <t>Every trip that enters or leaves Zürich pays 10 CHF congestion tax</t>
  </si>
  <si>
    <t>Forecasted after tax</t>
  </si>
  <si>
    <t>Would be good to get a lower travel time here to account for less congestions?</t>
  </si>
  <si>
    <t>Should try to find an estimate for how TT will change with less congestion?</t>
  </si>
  <si>
    <t>Congestion reduction savings</t>
  </si>
  <si>
    <t>Greater than one, so benefits are greater than costs</t>
  </si>
  <si>
    <t>Annual Costs</t>
  </si>
  <si>
    <t>Annual benefits</t>
  </si>
  <si>
    <t>Existing demand travel time savings (CHF)</t>
  </si>
  <si>
    <t>Induced demand travel time savings (CHF)</t>
  </si>
  <si>
    <t xml:space="preserve">(not scaled by </t>
  </si>
  <si>
    <t>population yet)</t>
  </si>
  <si>
    <t>Current adult population of Canton Zurich</t>
  </si>
  <si>
    <t>Cost of tax to drivers (counted as a negative benefit)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</si>
</sst>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_-* #,##0.00\ [$CHF-100C]_-;\-* #,##0.00\ [$CHF-100C]_-;_-* &quot;-&quot;??\ [$CHF-100C]_-;_-@_-"/>
    <numFmt numFmtId="165" formatCode="_(* #,##0_);_(* \(#,##0\);_(* &quot;-&quot;??_);_(@_)"/>
    <numFmt numFmtId="166" formatCode="_-* #,##0\ [$CHF-100C]_-;\-* #,##0\ [$CHF-100C]_-;_-* &quot;-&quot;??\ [$CHF-100C]_-;_-@_-"/>
    <numFmt numFmtId="167" formatCode="0.000000"/>
    <numFmt numFmtId="168" formatCode="0.0%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4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b/>
      <sz val="11"/>
      <color rgb="FFC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/>
    <xf numFmtId="0" fontId="1" fillId="0" borderId="0" xfId="0" applyFont="1"/>
    <xf numFmtId="0" fontId="1" fillId="0" borderId="0" xfId="0" applyFont="1" applyAlignment="1">
      <alignment wrapText="1"/>
    </xf>
    <xf numFmtId="164" fontId="1" fillId="0" borderId="0" xfId="0" applyNumberFormat="1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0" borderId="1" xfId="0" applyBorder="1" applyAlignment="1">
      <alignment wrapText="1"/>
    </xf>
    <xf numFmtId="164" fontId="0" fillId="0" borderId="1" xfId="0" applyNumberFormat="1" applyBorder="1"/>
    <xf numFmtId="0" fontId="1" fillId="0" borderId="0" xfId="0" applyFont="1" applyAlignment="1">
      <alignment vertical="top"/>
    </xf>
    <xf numFmtId="0" fontId="0" fillId="2" borderId="0" xfId="0" applyFill="1"/>
    <xf numFmtId="0" fontId="5" fillId="0" borderId="0" xfId="0" applyFont="1" applyAlignment="1">
      <alignment wrapText="1"/>
    </xf>
    <xf numFmtId="164" fontId="1" fillId="0" borderId="1" xfId="0" applyNumberFormat="1" applyFont="1" applyBorder="1"/>
    <xf numFmtId="1" fontId="0" fillId="0" borderId="0" xfId="0" applyNumberFormat="1"/>
    <xf numFmtId="165" fontId="0" fillId="0" borderId="0" xfId="1" applyNumberFormat="1" applyFont="1" applyAlignment="1">
      <alignment wrapText="1"/>
    </xf>
    <xf numFmtId="0" fontId="0" fillId="3" borderId="0" xfId="0" applyFill="1"/>
    <xf numFmtId="0" fontId="5" fillId="4" borderId="0" xfId="0" applyFont="1" applyFill="1"/>
    <xf numFmtId="0" fontId="0" fillId="4" borderId="0" xfId="0" applyFill="1"/>
    <xf numFmtId="0" fontId="0" fillId="4" borderId="0" xfId="0" applyFill="1" applyAlignment="1">
      <alignment wrapText="1"/>
    </xf>
    <xf numFmtId="0" fontId="0" fillId="5" borderId="0" xfId="0" applyFill="1"/>
    <xf numFmtId="0" fontId="0" fillId="6" borderId="0" xfId="0" applyFill="1"/>
    <xf numFmtId="10" fontId="0" fillId="0" borderId="0" xfId="0" applyNumberFormat="1"/>
    <xf numFmtId="10" fontId="5" fillId="0" borderId="0" xfId="0" applyNumberFormat="1" applyFont="1"/>
    <xf numFmtId="9" fontId="0" fillId="0" borderId="0" xfId="2" applyFont="1"/>
    <xf numFmtId="166" fontId="0" fillId="0" borderId="0" xfId="0" applyNumberFormat="1"/>
    <xf numFmtId="0" fontId="0" fillId="0" borderId="2" xfId="0" applyBorder="1"/>
    <xf numFmtId="0" fontId="3" fillId="0" borderId="2" xfId="0" applyFont="1" applyBorder="1"/>
    <xf numFmtId="0" fontId="3" fillId="0" borderId="3" xfId="0" applyFont="1" applyBorder="1" applyAlignment="1">
      <alignment wrapText="1"/>
    </xf>
    <xf numFmtId="0" fontId="0" fillId="0" borderId="3" xfId="0" applyBorder="1"/>
    <xf numFmtId="166" fontId="0" fillId="0" borderId="4" xfId="0" applyNumberFormat="1" applyBorder="1"/>
    <xf numFmtId="166" fontId="9" fillId="0" borderId="4" xfId="0" applyNumberFormat="1" applyFont="1" applyBorder="1"/>
    <xf numFmtId="0" fontId="9" fillId="0" borderId="0" xfId="0" applyFont="1"/>
    <xf numFmtId="0" fontId="0" fillId="0" borderId="5" xfId="0" applyBorder="1"/>
    <xf numFmtId="0" fontId="1" fillId="0" borderId="1" xfId="0" applyFont="1" applyBorder="1" applyAlignment="1">
      <alignment wrapText="1"/>
    </xf>
    <xf numFmtId="0" fontId="1" fillId="0" borderId="5" xfId="0" applyFont="1" applyBorder="1" applyAlignment="1">
      <alignment wrapText="1"/>
    </xf>
    <xf numFmtId="0" fontId="0" fillId="0" borderId="1" xfId="0" applyBorder="1"/>
    <xf numFmtId="1" fontId="0" fillId="0" borderId="0" xfId="0" applyNumberFormat="1" applyAlignment="1">
      <alignment wrapText="1"/>
    </xf>
    <xf numFmtId="1" fontId="1" fillId="0" borderId="0" xfId="0" applyNumberFormat="1" applyFont="1" applyAlignment="1">
      <alignment wrapText="1"/>
    </xf>
    <xf numFmtId="166" fontId="1" fillId="0" borderId="0" xfId="0" applyNumberFormat="1" applyFont="1"/>
    <xf numFmtId="0" fontId="1" fillId="2" borderId="0" xfId="0" applyFont="1" applyFill="1" applyAlignment="1">
      <alignment wrapText="1"/>
    </xf>
    <xf numFmtId="167" fontId="0" fillId="2" borderId="0" xfId="0" applyNumberFormat="1" applyFill="1"/>
    <xf numFmtId="0" fontId="1" fillId="2" borderId="0" xfId="0" applyFont="1" applyFill="1"/>
    <xf numFmtId="2" fontId="1" fillId="2" borderId="0" xfId="0" applyNumberFormat="1" applyFont="1" applyFill="1" applyAlignment="1">
      <alignment wrapText="1"/>
    </xf>
    <xf numFmtId="168" fontId="0" fillId="0" borderId="0" xfId="2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0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3A40F-175A-4EEC-B4D7-09BE1D9F546C}">
  <dimension ref="A1:R116"/>
  <sheetViews>
    <sheetView topLeftCell="A28" zoomScale="74" workbookViewId="0">
      <selection activeCell="D37" sqref="D37"/>
    </sheetView>
  </sheetViews>
  <sheetFormatPr defaultColWidth="8.81640625" defaultRowHeight="14.5" x14ac:dyDescent="0.35"/>
  <cols>
    <col min="1" max="1" width="22" customWidth="1"/>
    <col min="2" max="2" width="24" customWidth="1"/>
    <col min="3" max="3" width="19.6328125" customWidth="1"/>
    <col min="4" max="4" width="47.453125" customWidth="1"/>
    <col min="5" max="5" width="5.453125" customWidth="1"/>
    <col min="6" max="6" width="18.36328125" customWidth="1"/>
    <col min="7" max="7" width="29.81640625" customWidth="1"/>
    <col min="8" max="8" width="17.453125" customWidth="1"/>
    <col min="9" max="9" width="12.453125" customWidth="1"/>
    <col min="10" max="11" width="17.453125" customWidth="1"/>
    <col min="12" max="12" width="13" customWidth="1"/>
    <col min="15" max="15" width="11.81640625" customWidth="1"/>
    <col min="16" max="16" width="12.81640625" customWidth="1"/>
    <col min="17" max="17" width="11.36328125" customWidth="1"/>
    <col min="18" max="18" width="12.1796875" customWidth="1"/>
  </cols>
  <sheetData>
    <row r="1" spans="1:11" s="12" customFormat="1" x14ac:dyDescent="0.35">
      <c r="A1" s="12" t="s">
        <v>47</v>
      </c>
      <c r="B1" s="12" t="s">
        <v>48</v>
      </c>
    </row>
    <row r="3" spans="1:11" x14ac:dyDescent="0.35">
      <c r="C3" s="1" t="s">
        <v>14</v>
      </c>
      <c r="D3" s="7">
        <v>8000</v>
      </c>
      <c r="G3" s="3" t="s">
        <v>36</v>
      </c>
    </row>
    <row r="4" spans="1:11" x14ac:dyDescent="0.35">
      <c r="C4" s="1"/>
      <c r="G4" s="3" t="s">
        <v>37</v>
      </c>
    </row>
    <row r="5" spans="1:11" x14ac:dyDescent="0.35">
      <c r="A5" s="3" t="s">
        <v>24</v>
      </c>
      <c r="B5" s="3" t="s">
        <v>25</v>
      </c>
      <c r="C5" s="1" t="s">
        <v>18</v>
      </c>
      <c r="D5" s="2">
        <f>D3*H5*H6</f>
        <v>1040000000</v>
      </c>
      <c r="G5" t="s">
        <v>41</v>
      </c>
      <c r="H5" s="7">
        <v>2</v>
      </c>
      <c r="I5" s="8" t="s">
        <v>42</v>
      </c>
    </row>
    <row r="6" spans="1:11" x14ac:dyDescent="0.35">
      <c r="C6" s="1" t="s">
        <v>19</v>
      </c>
      <c r="D6" s="2">
        <f>H8*H7</f>
        <v>1280000</v>
      </c>
      <c r="G6" t="s">
        <v>40</v>
      </c>
      <c r="H6" s="7">
        <v>65000</v>
      </c>
    </row>
    <row r="7" spans="1:11" x14ac:dyDescent="0.35">
      <c r="C7" s="1" t="s">
        <v>20</v>
      </c>
      <c r="D7" s="2">
        <f>D3*H9*H5</f>
        <v>35200000</v>
      </c>
      <c r="G7" t="s">
        <v>38</v>
      </c>
      <c r="H7" s="7">
        <v>320000</v>
      </c>
    </row>
    <row r="8" spans="1:11" x14ac:dyDescent="0.35">
      <c r="C8" s="1" t="s">
        <v>21</v>
      </c>
      <c r="D8" s="2">
        <f>H5*H10*D3</f>
        <v>7520000</v>
      </c>
      <c r="G8" t="s">
        <v>39</v>
      </c>
      <c r="H8" s="7">
        <v>4</v>
      </c>
    </row>
    <row r="9" spans="1:11" x14ac:dyDescent="0.35">
      <c r="C9" s="1" t="s">
        <v>22</v>
      </c>
      <c r="D9" s="2">
        <f>H11</f>
        <v>4200000</v>
      </c>
      <c r="G9" t="s">
        <v>20</v>
      </c>
      <c r="H9" s="7">
        <v>2200</v>
      </c>
    </row>
    <row r="10" spans="1:11" x14ac:dyDescent="0.35">
      <c r="C10" s="9" t="s">
        <v>23</v>
      </c>
      <c r="D10" s="10">
        <f>(D3*H12*H5)/2</f>
        <v>640000000</v>
      </c>
      <c r="G10" t="s">
        <v>21</v>
      </c>
      <c r="H10" s="7">
        <v>470</v>
      </c>
    </row>
    <row r="11" spans="1:11" x14ac:dyDescent="0.35">
      <c r="C11" s="4" t="s">
        <v>26</v>
      </c>
      <c r="D11" s="5">
        <f>SUM(D5:D10)</f>
        <v>1728200000</v>
      </c>
      <c r="G11" t="s">
        <v>43</v>
      </c>
      <c r="H11" s="7">
        <v>4200000</v>
      </c>
    </row>
    <row r="12" spans="1:11" x14ac:dyDescent="0.35">
      <c r="G12" t="s">
        <v>44</v>
      </c>
      <c r="H12" s="7">
        <v>80000</v>
      </c>
    </row>
    <row r="13" spans="1:11" x14ac:dyDescent="0.35">
      <c r="C13" s="4"/>
      <c r="D13" s="5"/>
      <c r="G13" t="s">
        <v>28</v>
      </c>
      <c r="H13" s="24">
        <v>2.5000000000000001E-2</v>
      </c>
      <c r="J13" s="2"/>
      <c r="K13" s="2"/>
    </row>
    <row r="14" spans="1:11" x14ac:dyDescent="0.35">
      <c r="C14" s="4"/>
      <c r="D14" s="5"/>
      <c r="J14" s="2"/>
      <c r="K14" s="2"/>
    </row>
    <row r="15" spans="1:11" ht="43.5" x14ac:dyDescent="0.35">
      <c r="B15" s="11" t="s">
        <v>27</v>
      </c>
      <c r="C15" s="1" t="s">
        <v>33</v>
      </c>
      <c r="D15" s="2">
        <f>D7*((1+H13)^(-15)+(1+H13)^(-30)+(1+H13)^-(45))</f>
        <v>52672669.125554681</v>
      </c>
      <c r="G15" t="s">
        <v>45</v>
      </c>
      <c r="H15" s="7">
        <v>7.6999999999999999E-2</v>
      </c>
    </row>
    <row r="16" spans="1:11" ht="58" x14ac:dyDescent="0.35">
      <c r="C16" s="9" t="s">
        <v>32</v>
      </c>
      <c r="D16" s="10">
        <f>D8*((1+H13)^-10 + (1+H13)^-20 +(1+ H13)^-30 + (1+H13)^-40 + (1+H13)^-50 )</f>
        <v>19037518.158102311</v>
      </c>
      <c r="G16" t="s">
        <v>46</v>
      </c>
      <c r="H16" s="7">
        <v>0.05</v>
      </c>
    </row>
    <row r="17" spans="1:9" x14ac:dyDescent="0.35">
      <c r="C17" s="4" t="s">
        <v>34</v>
      </c>
      <c r="D17" s="5">
        <f>D15+D16</f>
        <v>71710187.283656985</v>
      </c>
    </row>
    <row r="18" spans="1:9" x14ac:dyDescent="0.35">
      <c r="C18" s="4"/>
      <c r="D18" s="5"/>
      <c r="G18" s="3" t="s">
        <v>55</v>
      </c>
    </row>
    <row r="19" spans="1:9" x14ac:dyDescent="0.35">
      <c r="B19" s="4" t="s">
        <v>31</v>
      </c>
      <c r="C19" s="4"/>
      <c r="D19" s="2">
        <f>H16*(D11+D17)</f>
        <v>89995509.36418286</v>
      </c>
      <c r="G19" t="s">
        <v>56</v>
      </c>
      <c r="H19" s="7">
        <v>15</v>
      </c>
      <c r="I19" s="8" t="s">
        <v>60</v>
      </c>
    </row>
    <row r="20" spans="1:9" x14ac:dyDescent="0.35">
      <c r="B20" s="3" t="s">
        <v>35</v>
      </c>
      <c r="C20" s="4"/>
      <c r="D20" s="2">
        <f>(D17+D11)*H15</f>
        <v>138593084.4208416</v>
      </c>
      <c r="G20" t="s">
        <v>57</v>
      </c>
      <c r="H20" s="7">
        <v>14</v>
      </c>
    </row>
    <row r="21" spans="1:9" ht="15" thickBot="1" x14ac:dyDescent="0.4">
      <c r="C21" s="4"/>
      <c r="D21" s="2"/>
      <c r="G21" t="s">
        <v>58</v>
      </c>
      <c r="H21" s="7">
        <v>3</v>
      </c>
    </row>
    <row r="22" spans="1:9" ht="15" thickBot="1" x14ac:dyDescent="0.4">
      <c r="B22" s="28" t="s">
        <v>85</v>
      </c>
      <c r="C22" s="29"/>
      <c r="D22" s="32">
        <f>D11+D17+D19+D20</f>
        <v>2028498781.0686817</v>
      </c>
      <c r="F22" s="6"/>
      <c r="G22" t="s">
        <v>59</v>
      </c>
      <c r="H22" s="7">
        <v>8</v>
      </c>
    </row>
    <row r="23" spans="1:9" x14ac:dyDescent="0.35">
      <c r="C23" s="1"/>
      <c r="D23" s="5"/>
      <c r="F23" s="6"/>
      <c r="G23" t="s">
        <v>61</v>
      </c>
      <c r="H23" s="7">
        <v>18</v>
      </c>
      <c r="I23" s="33" t="s">
        <v>89</v>
      </c>
    </row>
    <row r="24" spans="1:9" x14ac:dyDescent="0.35">
      <c r="C24" s="1"/>
      <c r="D24" s="5"/>
      <c r="F24" s="6"/>
      <c r="G24" t="s">
        <v>62</v>
      </c>
      <c r="H24" s="7">
        <v>33</v>
      </c>
    </row>
    <row r="25" spans="1:9" x14ac:dyDescent="0.35">
      <c r="C25" s="35" t="s">
        <v>51</v>
      </c>
      <c r="D25" s="14" t="s">
        <v>52</v>
      </c>
      <c r="F25" s="6"/>
      <c r="G25" t="s">
        <v>66</v>
      </c>
      <c r="H25">
        <f>H24*(1-0.4)</f>
        <v>19.8</v>
      </c>
    </row>
    <row r="26" spans="1:9" ht="43.5" x14ac:dyDescent="0.35">
      <c r="A26" s="4" t="s">
        <v>50</v>
      </c>
      <c r="B26" s="34" t="s">
        <v>4</v>
      </c>
      <c r="C26" s="13">
        <v>452</v>
      </c>
      <c r="D26" s="13">
        <v>412</v>
      </c>
      <c r="F26" s="6"/>
      <c r="G26" t="s">
        <v>63</v>
      </c>
      <c r="H26" s="7">
        <v>37</v>
      </c>
    </row>
    <row r="27" spans="1:9" x14ac:dyDescent="0.35">
      <c r="A27" s="3"/>
      <c r="B27" s="34" t="s">
        <v>49</v>
      </c>
      <c r="C27" s="13">
        <v>322</v>
      </c>
      <c r="D27" s="13">
        <v>444</v>
      </c>
      <c r="F27" s="6"/>
      <c r="G27" t="s">
        <v>64</v>
      </c>
      <c r="H27" s="7">
        <v>33</v>
      </c>
    </row>
    <row r="28" spans="1:9" x14ac:dyDescent="0.35">
      <c r="A28" s="3"/>
      <c r="B28" s="34" t="s">
        <v>7</v>
      </c>
      <c r="C28" s="13">
        <v>27</v>
      </c>
      <c r="D28" s="13">
        <v>35</v>
      </c>
      <c r="F28" s="6"/>
      <c r="H28" s="7"/>
      <c r="I28" s="8"/>
    </row>
    <row r="29" spans="1:9" x14ac:dyDescent="0.35">
      <c r="A29" s="3"/>
      <c r="B29" s="34" t="s">
        <v>6</v>
      </c>
      <c r="C29" s="13">
        <v>6</v>
      </c>
      <c r="D29" s="13">
        <v>8</v>
      </c>
      <c r="F29" s="6"/>
      <c r="G29" t="s">
        <v>78</v>
      </c>
      <c r="H29" s="24">
        <v>6.1500000000000001E-3</v>
      </c>
    </row>
    <row r="30" spans="1:9" x14ac:dyDescent="0.35">
      <c r="A30" s="3"/>
      <c r="B30" s="34" t="s">
        <v>53</v>
      </c>
      <c r="C30" s="1">
        <f>SUM(C26:C29)</f>
        <v>807</v>
      </c>
      <c r="D30" s="15">
        <f>SUM(D26:D29)</f>
        <v>899</v>
      </c>
      <c r="F30" s="6"/>
      <c r="G30" t="s">
        <v>99</v>
      </c>
      <c r="H30" s="7">
        <v>1240000</v>
      </c>
    </row>
    <row r="31" spans="1:9" ht="43.5" x14ac:dyDescent="0.35">
      <c r="A31" s="4" t="s">
        <v>65</v>
      </c>
      <c r="B31" t="s">
        <v>54</v>
      </c>
      <c r="C31" s="16">
        <f>C30*52</f>
        <v>41964</v>
      </c>
      <c r="D31" s="16">
        <f>D30*52</f>
        <v>46748</v>
      </c>
      <c r="F31" s="6"/>
    </row>
    <row r="32" spans="1:9" x14ac:dyDescent="0.35">
      <c r="C32" s="1"/>
      <c r="D32" s="5"/>
      <c r="F32" s="6"/>
    </row>
    <row r="33" spans="1:18" x14ac:dyDescent="0.35">
      <c r="C33" s="1"/>
      <c r="D33" s="5"/>
      <c r="F33" s="6"/>
    </row>
    <row r="34" spans="1:18" x14ac:dyDescent="0.35">
      <c r="C34" s="1"/>
      <c r="D34" s="3"/>
      <c r="F34" s="6"/>
      <c r="H34" s="3" t="s">
        <v>77</v>
      </c>
      <c r="I34" t="s">
        <v>97</v>
      </c>
      <c r="J34" t="s">
        <v>98</v>
      </c>
      <c r="K34" s="33"/>
    </row>
    <row r="35" spans="1:18" x14ac:dyDescent="0.35">
      <c r="C35" s="1"/>
      <c r="D35" s="5"/>
      <c r="F35" s="6"/>
      <c r="H35" s="21"/>
      <c r="I35" s="21" t="s">
        <v>11</v>
      </c>
      <c r="J35" s="21"/>
      <c r="K35" s="21"/>
      <c r="L35" s="17"/>
      <c r="M35" s="17" t="s">
        <v>72</v>
      </c>
      <c r="N35" s="17"/>
      <c r="O35" s="17"/>
      <c r="P35" s="17"/>
      <c r="Q35" s="22" t="s">
        <v>76</v>
      </c>
      <c r="R35" s="22"/>
    </row>
    <row r="36" spans="1:18" ht="72.5" x14ac:dyDescent="0.35">
      <c r="C36" s="1"/>
      <c r="G36" t="s">
        <v>13</v>
      </c>
      <c r="H36" s="1" t="s">
        <v>8</v>
      </c>
      <c r="I36" s="1" t="s">
        <v>95</v>
      </c>
      <c r="J36" s="1" t="s">
        <v>96</v>
      </c>
      <c r="K36" s="4" t="s">
        <v>73</v>
      </c>
      <c r="L36" s="1" t="s">
        <v>71</v>
      </c>
      <c r="M36" s="1" t="s">
        <v>68</v>
      </c>
      <c r="N36" s="1" t="s">
        <v>70</v>
      </c>
      <c r="O36" s="1" t="s">
        <v>69</v>
      </c>
      <c r="P36" s="4" t="s">
        <v>10</v>
      </c>
      <c r="Q36" s="1" t="s">
        <v>74</v>
      </c>
      <c r="R36" s="1" t="s">
        <v>75</v>
      </c>
    </row>
    <row r="37" spans="1:18" x14ac:dyDescent="0.35">
      <c r="A37" s="3" t="s">
        <v>1</v>
      </c>
      <c r="B37" s="3" t="s">
        <v>29</v>
      </c>
      <c r="C37" s="1" t="s">
        <v>11</v>
      </c>
      <c r="D37" s="2">
        <f>SUM(K37:K38)*H30*8/1254</f>
        <v>9598383.1578947362</v>
      </c>
      <c r="G37" s="1" t="s">
        <v>4</v>
      </c>
      <c r="H37" s="7">
        <v>23.3</v>
      </c>
      <c r="I37">
        <v>0</v>
      </c>
      <c r="J37" s="1">
        <v>0</v>
      </c>
      <c r="K37" s="4">
        <f>I37+J37</f>
        <v>0</v>
      </c>
      <c r="L37">
        <f>C26*H19-D26*H19</f>
        <v>600</v>
      </c>
      <c r="M37" s="7">
        <v>192</v>
      </c>
      <c r="N37">
        <f>M37/1000000</f>
        <v>1.92E-4</v>
      </c>
      <c r="O37" s="7">
        <v>90</v>
      </c>
      <c r="P37" s="3">
        <f>L37*N37*O37</f>
        <v>10.368</v>
      </c>
      <c r="Q37" s="7">
        <f>(0.012+0.031)/2</f>
        <v>2.1499999999999998E-2</v>
      </c>
      <c r="R37">
        <f>L37*Q37</f>
        <v>12.899999999999999</v>
      </c>
    </row>
    <row r="38" spans="1:18" ht="29" x14ac:dyDescent="0.35">
      <c r="C38" s="1" t="s">
        <v>9</v>
      </c>
      <c r="D38" s="2">
        <f>SUM(P37:P40)*H30*8/1254</f>
        <v>124579.06220095693</v>
      </c>
      <c r="G38" s="1" t="s">
        <v>5</v>
      </c>
      <c r="H38" s="7">
        <v>14.4</v>
      </c>
      <c r="I38">
        <f>(C27*(H24-H25)*H38)/60</f>
        <v>1020.0959999999999</v>
      </c>
      <c r="J38" s="1">
        <f>0.5*(D27-C27)*(H24-H25)*H38/60</f>
        <v>193.24799999999999</v>
      </c>
      <c r="K38" s="4">
        <f>I38+J38</f>
        <v>1213.3439999999998</v>
      </c>
      <c r="L38">
        <f>D27*H20-C27*H20</f>
        <v>1708</v>
      </c>
      <c r="M38" s="7">
        <v>35</v>
      </c>
      <c r="N38">
        <f t="shared" ref="N38:N40" si="0">M38/1000000</f>
        <v>3.4999999999999997E-5</v>
      </c>
      <c r="O38" s="7">
        <v>90</v>
      </c>
      <c r="P38" s="3">
        <f>L38*N38*O38</f>
        <v>5.3801999999999994</v>
      </c>
      <c r="Q38">
        <v>0</v>
      </c>
      <c r="R38" s="19"/>
    </row>
    <row r="39" spans="1:18" x14ac:dyDescent="0.35">
      <c r="C39" t="s">
        <v>67</v>
      </c>
      <c r="D39" s="2">
        <f>SUM(R37:R40)*H30*8/1254</f>
        <v>102047.84688995214</v>
      </c>
      <c r="G39" s="1" t="s">
        <v>7</v>
      </c>
      <c r="H39" s="18"/>
      <c r="I39" s="19"/>
      <c r="J39" s="20"/>
      <c r="K39" s="20"/>
      <c r="L39">
        <f>D28*H21-C28*H21</f>
        <v>24</v>
      </c>
      <c r="M39" s="7">
        <v>0</v>
      </c>
      <c r="N39">
        <f t="shared" si="0"/>
        <v>0</v>
      </c>
      <c r="O39" s="7">
        <v>90</v>
      </c>
      <c r="P39" s="3">
        <f>L39*N39*O39</f>
        <v>0</v>
      </c>
      <c r="Q39">
        <v>0</v>
      </c>
      <c r="R39" s="19"/>
    </row>
    <row r="40" spans="1:18" x14ac:dyDescent="0.35">
      <c r="G40" s="1" t="s">
        <v>6</v>
      </c>
      <c r="H40" s="18"/>
      <c r="I40" s="19"/>
      <c r="J40" s="19"/>
      <c r="K40" s="19"/>
      <c r="L40">
        <f>D29*H22-C29*H22</f>
        <v>16</v>
      </c>
      <c r="M40" s="7">
        <v>0</v>
      </c>
      <c r="N40">
        <f t="shared" si="0"/>
        <v>0</v>
      </c>
      <c r="O40" s="7">
        <v>90</v>
      </c>
      <c r="P40" s="3">
        <f>L40*M40*O40</f>
        <v>0</v>
      </c>
      <c r="Q40">
        <v>0</v>
      </c>
      <c r="R40" s="19"/>
    </row>
    <row r="41" spans="1:18" x14ac:dyDescent="0.35">
      <c r="C41" s="4" t="s">
        <v>53</v>
      </c>
      <c r="D41" s="2">
        <f>SUM(D37:D39)</f>
        <v>9825010.0669856444</v>
      </c>
      <c r="F41" s="6"/>
    </row>
    <row r="42" spans="1:18" x14ac:dyDescent="0.35">
      <c r="D42" s="2"/>
    </row>
    <row r="43" spans="1:18" x14ac:dyDescent="0.35">
      <c r="B43" s="3" t="s">
        <v>30</v>
      </c>
      <c r="D43" s="2">
        <f>52*D41</f>
        <v>510900523.48325348</v>
      </c>
    </row>
    <row r="44" spans="1:18" ht="15" thickBot="1" x14ac:dyDescent="0.4">
      <c r="D44" s="2"/>
    </row>
    <row r="45" spans="1:18" ht="15" thickBot="1" x14ac:dyDescent="0.4">
      <c r="B45" s="27" t="s">
        <v>79</v>
      </c>
      <c r="C45" s="30"/>
      <c r="D45" s="31">
        <f>SUM(B56:B116)</f>
        <v>18827009281.393661</v>
      </c>
    </row>
    <row r="48" spans="1:18" x14ac:dyDescent="0.35">
      <c r="A48" s="41" t="s">
        <v>17</v>
      </c>
      <c r="B48" s="42">
        <f>D45/D22</f>
        <v>9.2812524498905322</v>
      </c>
    </row>
    <row r="52" spans="1:2" x14ac:dyDescent="0.35">
      <c r="A52" s="3" t="s">
        <v>80</v>
      </c>
    </row>
    <row r="53" spans="1:2" x14ac:dyDescent="0.35">
      <c r="A53" t="s">
        <v>81</v>
      </c>
      <c r="B53" s="23">
        <f>H29</f>
        <v>6.1500000000000001E-3</v>
      </c>
    </row>
    <row r="54" spans="1:2" x14ac:dyDescent="0.35">
      <c r="A54" t="s">
        <v>82</v>
      </c>
      <c r="B54" s="45">
        <f>H13</f>
        <v>2.5000000000000001E-2</v>
      </c>
    </row>
    <row r="55" spans="1:2" x14ac:dyDescent="0.35">
      <c r="A55" t="s">
        <v>83</v>
      </c>
      <c r="B55" s="25" t="s">
        <v>84</v>
      </c>
    </row>
    <row r="56" spans="1:2" x14ac:dyDescent="0.35">
      <c r="A56">
        <v>0</v>
      </c>
      <c r="B56" s="26">
        <f t="shared" ref="B56:B87" si="1">$D$43*(1+$B$54)^-A56*(1+$B$53)^A56</f>
        <v>510900523.48325348</v>
      </c>
    </row>
    <row r="57" spans="1:2" x14ac:dyDescent="0.35">
      <c r="A57">
        <v>1</v>
      </c>
      <c r="B57" s="26">
        <f t="shared" si="1"/>
        <v>501504938.24651277</v>
      </c>
    </row>
    <row r="58" spans="1:2" x14ac:dyDescent="0.35">
      <c r="A58">
        <v>2</v>
      </c>
      <c r="B58" s="26">
        <f t="shared" si="1"/>
        <v>492282140.11388177</v>
      </c>
    </row>
    <row r="59" spans="1:2" x14ac:dyDescent="0.35">
      <c r="A59">
        <f>A58+1</f>
        <v>3</v>
      </c>
      <c r="B59" s="26">
        <f t="shared" si="1"/>
        <v>483228951.48837286</v>
      </c>
    </row>
    <row r="60" spans="1:2" x14ac:dyDescent="0.35">
      <c r="A60">
        <f t="shared" ref="A60:A116" si="2">A59+1</f>
        <v>4</v>
      </c>
      <c r="B60" s="26">
        <f t="shared" si="1"/>
        <v>474342253.20978194</v>
      </c>
    </row>
    <row r="61" spans="1:2" x14ac:dyDescent="0.35">
      <c r="A61">
        <f t="shared" si="2"/>
        <v>5</v>
      </c>
      <c r="B61" s="26">
        <f t="shared" si="1"/>
        <v>465618983.48002154</v>
      </c>
    </row>
    <row r="62" spans="1:2" x14ac:dyDescent="0.35">
      <c r="A62">
        <f t="shared" si="2"/>
        <v>6</v>
      </c>
      <c r="B62" s="26">
        <f t="shared" si="1"/>
        <v>457056136.8082183</v>
      </c>
    </row>
    <row r="63" spans="1:2" x14ac:dyDescent="0.35">
      <c r="A63">
        <f t="shared" si="2"/>
        <v>7</v>
      </c>
      <c r="B63" s="26">
        <f t="shared" si="1"/>
        <v>448650762.9752087</v>
      </c>
    </row>
    <row r="64" spans="1:2" x14ac:dyDescent="0.35">
      <c r="A64">
        <f t="shared" si="2"/>
        <v>8</v>
      </c>
      <c r="B64" s="26">
        <f t="shared" si="1"/>
        <v>440399966.01707935</v>
      </c>
    </row>
    <row r="65" spans="1:2" x14ac:dyDescent="0.35">
      <c r="A65">
        <f t="shared" si="2"/>
        <v>9</v>
      </c>
      <c r="B65" s="26">
        <f t="shared" si="1"/>
        <v>432300903.22739947</v>
      </c>
    </row>
    <row r="66" spans="1:2" x14ac:dyDescent="0.35">
      <c r="A66">
        <f t="shared" si="2"/>
        <v>10</v>
      </c>
      <c r="B66" s="26">
        <f t="shared" si="1"/>
        <v>424350784.17780298</v>
      </c>
    </row>
    <row r="67" spans="1:2" x14ac:dyDescent="0.35">
      <c r="A67">
        <f t="shared" si="2"/>
        <v>11</v>
      </c>
      <c r="B67" s="26">
        <f t="shared" si="1"/>
        <v>416546869.75658184</v>
      </c>
    </row>
    <row r="68" spans="1:2" x14ac:dyDescent="0.35">
      <c r="A68">
        <f t="shared" si="2"/>
        <v>12</v>
      </c>
      <c r="B68" s="26">
        <f t="shared" si="1"/>
        <v>408886471.22496104</v>
      </c>
    </row>
    <row r="69" spans="1:2" x14ac:dyDescent="0.35">
      <c r="A69">
        <f t="shared" si="2"/>
        <v>13</v>
      </c>
      <c r="B69" s="26">
        <f t="shared" si="1"/>
        <v>401366949.2907263</v>
      </c>
    </row>
    <row r="70" spans="1:2" x14ac:dyDescent="0.35">
      <c r="A70">
        <f t="shared" si="2"/>
        <v>14</v>
      </c>
      <c r="B70" s="26">
        <f t="shared" si="1"/>
        <v>393985713.19889212</v>
      </c>
    </row>
    <row r="71" spans="1:2" x14ac:dyDescent="0.35">
      <c r="A71">
        <f t="shared" si="2"/>
        <v>15</v>
      </c>
      <c r="B71" s="26">
        <f t="shared" si="1"/>
        <v>386740219.83908802</v>
      </c>
    </row>
    <row r="72" spans="1:2" x14ac:dyDescent="0.35">
      <c r="A72">
        <f>A71+1</f>
        <v>16</v>
      </c>
      <c r="B72" s="26">
        <f t="shared" si="1"/>
        <v>379627972.86936438</v>
      </c>
    </row>
    <row r="73" spans="1:2" x14ac:dyDescent="0.35">
      <c r="A73">
        <f t="shared" si="2"/>
        <v>17</v>
      </c>
      <c r="B73" s="26">
        <f t="shared" si="1"/>
        <v>372646521.85610837</v>
      </c>
    </row>
    <row r="74" spans="1:2" x14ac:dyDescent="0.35">
      <c r="A74">
        <f t="shared" si="2"/>
        <v>18</v>
      </c>
      <c r="B74" s="26">
        <f t="shared" si="1"/>
        <v>365793461.42977887</v>
      </c>
    </row>
    <row r="75" spans="1:2" x14ac:dyDescent="0.35">
      <c r="A75">
        <f t="shared" si="2"/>
        <v>19</v>
      </c>
      <c r="B75" s="26">
        <f t="shared" si="1"/>
        <v>359066430.45616788</v>
      </c>
    </row>
    <row r="76" spans="1:2" x14ac:dyDescent="0.35">
      <c r="A76">
        <f t="shared" si="2"/>
        <v>20</v>
      </c>
      <c r="B76" s="26">
        <f t="shared" si="1"/>
        <v>352463111.22290087</v>
      </c>
    </row>
    <row r="77" spans="1:2" x14ac:dyDescent="0.35">
      <c r="A77">
        <f t="shared" si="2"/>
        <v>21</v>
      </c>
      <c r="B77" s="26">
        <f t="shared" si="1"/>
        <v>345981228.6408993</v>
      </c>
    </row>
    <row r="78" spans="1:2" x14ac:dyDescent="0.35">
      <c r="A78">
        <f t="shared" si="2"/>
        <v>22</v>
      </c>
      <c r="B78" s="26">
        <f t="shared" si="1"/>
        <v>339618549.46052772</v>
      </c>
    </row>
    <row r="79" spans="1:2" x14ac:dyDescent="0.35">
      <c r="A79">
        <f t="shared" si="2"/>
        <v>23</v>
      </c>
      <c r="B79" s="26">
        <f t="shared" si="1"/>
        <v>333372881.50215608</v>
      </c>
    </row>
    <row r="80" spans="1:2" x14ac:dyDescent="0.35">
      <c r="A80">
        <f t="shared" si="2"/>
        <v>24</v>
      </c>
      <c r="B80" s="26">
        <f t="shared" si="1"/>
        <v>327242072.90087259</v>
      </c>
    </row>
    <row r="81" spans="1:2" x14ac:dyDescent="0.35">
      <c r="A81">
        <f t="shared" si="2"/>
        <v>25</v>
      </c>
      <c r="B81" s="26">
        <f t="shared" si="1"/>
        <v>321224011.36508578</v>
      </c>
    </row>
    <row r="82" spans="1:2" x14ac:dyDescent="0.35">
      <c r="A82">
        <f t="shared" si="2"/>
        <v>26</v>
      </c>
      <c r="B82" s="26">
        <f t="shared" si="1"/>
        <v>315316623.44876218</v>
      </c>
    </row>
    <row r="83" spans="1:2" x14ac:dyDescent="0.35">
      <c r="A83">
        <f t="shared" si="2"/>
        <v>27</v>
      </c>
      <c r="B83" s="26">
        <f t="shared" si="1"/>
        <v>309517873.83704585</v>
      </c>
    </row>
    <row r="84" spans="1:2" x14ac:dyDescent="0.35">
      <c r="A84">
        <f t="shared" si="2"/>
        <v>28</v>
      </c>
      <c r="B84" s="26">
        <f t="shared" si="1"/>
        <v>303825764.64501834</v>
      </c>
    </row>
    <row r="85" spans="1:2" x14ac:dyDescent="0.35">
      <c r="A85">
        <f>A84+1</f>
        <v>29</v>
      </c>
      <c r="B85" s="26">
        <f t="shared" si="1"/>
        <v>298238334.72935128</v>
      </c>
    </row>
    <row r="86" spans="1:2" x14ac:dyDescent="0.35">
      <c r="A86">
        <f t="shared" si="2"/>
        <v>30</v>
      </c>
      <c r="B86" s="26">
        <f t="shared" si="1"/>
        <v>292753659.01262146</v>
      </c>
    </row>
    <row r="87" spans="1:2" x14ac:dyDescent="0.35">
      <c r="A87">
        <f t="shared" si="2"/>
        <v>31</v>
      </c>
      <c r="B87" s="26">
        <f t="shared" si="1"/>
        <v>287369847.8200478</v>
      </c>
    </row>
    <row r="88" spans="1:2" x14ac:dyDescent="0.35">
      <c r="A88">
        <f t="shared" si="2"/>
        <v>32</v>
      </c>
      <c r="B88" s="26">
        <f t="shared" ref="B88:B116" si="3">$D$43*(1+$B$54)^-A88*(1+$B$53)^A88</f>
        <v>282085046.22843039</v>
      </c>
    </row>
    <row r="89" spans="1:2" x14ac:dyDescent="0.35">
      <c r="A89">
        <f t="shared" si="2"/>
        <v>33</v>
      </c>
      <c r="B89" s="26">
        <f t="shared" si="3"/>
        <v>276897433.42705888</v>
      </c>
    </row>
    <row r="90" spans="1:2" x14ac:dyDescent="0.35">
      <c r="A90">
        <f t="shared" si="2"/>
        <v>34</v>
      </c>
      <c r="B90" s="26">
        <f t="shared" si="3"/>
        <v>271805222.0903759</v>
      </c>
    </row>
    <row r="91" spans="1:2" x14ac:dyDescent="0.35">
      <c r="A91">
        <f t="shared" si="2"/>
        <v>35</v>
      </c>
      <c r="B91" s="26">
        <f t="shared" si="3"/>
        <v>266806657.76217732</v>
      </c>
    </row>
    <row r="92" spans="1:2" x14ac:dyDescent="0.35">
      <c r="A92">
        <f t="shared" si="2"/>
        <v>36</v>
      </c>
      <c r="B92" s="26">
        <f t="shared" si="3"/>
        <v>261900018.25113633</v>
      </c>
    </row>
    <row r="93" spans="1:2" x14ac:dyDescent="0.35">
      <c r="A93">
        <f t="shared" si="2"/>
        <v>37</v>
      </c>
      <c r="B93" s="26">
        <f t="shared" si="3"/>
        <v>257083613.03744471</v>
      </c>
    </row>
    <row r="94" spans="1:2" x14ac:dyDescent="0.35">
      <c r="A94">
        <f t="shared" si="2"/>
        <v>38</v>
      </c>
      <c r="B94" s="26">
        <f t="shared" si="3"/>
        <v>252355782.69036597</v>
      </c>
    </row>
    <row r="95" spans="1:2" x14ac:dyDescent="0.35">
      <c r="A95">
        <f t="shared" si="2"/>
        <v>39</v>
      </c>
      <c r="B95" s="26">
        <f t="shared" si="3"/>
        <v>247714898.29649919</v>
      </c>
    </row>
    <row r="96" spans="1:2" x14ac:dyDescent="0.35">
      <c r="A96">
        <f t="shared" si="2"/>
        <v>40</v>
      </c>
      <c r="B96" s="26">
        <f t="shared" si="3"/>
        <v>243159360.8985588</v>
      </c>
    </row>
    <row r="97" spans="1:2" x14ac:dyDescent="0.35">
      <c r="A97">
        <f t="shared" si="2"/>
        <v>41</v>
      </c>
      <c r="B97" s="26">
        <f t="shared" si="3"/>
        <v>238687600.94447312</v>
      </c>
    </row>
    <row r="98" spans="1:2" x14ac:dyDescent="0.35">
      <c r="A98">
        <f>A97+1</f>
        <v>42</v>
      </c>
      <c r="B98" s="26">
        <f t="shared" si="3"/>
        <v>234298077.74661621</v>
      </c>
    </row>
    <row r="99" spans="1:2" x14ac:dyDescent="0.35">
      <c r="A99">
        <f t="shared" si="2"/>
        <v>43</v>
      </c>
      <c r="B99" s="26">
        <f t="shared" si="3"/>
        <v>229989278.95098332</v>
      </c>
    </row>
    <row r="100" spans="1:2" x14ac:dyDescent="0.35">
      <c r="A100">
        <f t="shared" si="2"/>
        <v>44</v>
      </c>
      <c r="B100" s="26">
        <f t="shared" si="3"/>
        <v>225759720.01612878</v>
      </c>
    </row>
    <row r="101" spans="1:2" x14ac:dyDescent="0.35">
      <c r="A101">
        <f>A100+1</f>
        <v>45</v>
      </c>
      <c r="B101" s="26">
        <f t="shared" si="3"/>
        <v>221607943.70168576</v>
      </c>
    </row>
    <row r="102" spans="1:2" x14ac:dyDescent="0.35">
      <c r="A102">
        <f t="shared" si="2"/>
        <v>46</v>
      </c>
      <c r="B102" s="26">
        <f t="shared" si="3"/>
        <v>217532519.56629384</v>
      </c>
    </row>
    <row r="103" spans="1:2" x14ac:dyDescent="0.35">
      <c r="A103">
        <f t="shared" si="2"/>
        <v>47</v>
      </c>
      <c r="B103" s="26">
        <f t="shared" si="3"/>
        <v>213532043.47475761</v>
      </c>
    </row>
    <row r="104" spans="1:2" x14ac:dyDescent="0.35">
      <c r="A104">
        <f t="shared" si="2"/>
        <v>48</v>
      </c>
      <c r="B104" s="26">
        <f t="shared" si="3"/>
        <v>209605137.1142706</v>
      </c>
    </row>
    <row r="105" spans="1:2" x14ac:dyDescent="0.35">
      <c r="A105">
        <f t="shared" si="2"/>
        <v>49</v>
      </c>
      <c r="B105" s="26">
        <f t="shared" si="3"/>
        <v>205750447.51953509</v>
      </c>
    </row>
    <row r="106" spans="1:2" x14ac:dyDescent="0.35">
      <c r="A106">
        <f t="shared" si="2"/>
        <v>50</v>
      </c>
      <c r="B106" s="26">
        <f t="shared" si="3"/>
        <v>201966646.60661483</v>
      </c>
    </row>
    <row r="107" spans="1:2" x14ac:dyDescent="0.35">
      <c r="A107">
        <f t="shared" si="2"/>
        <v>51</v>
      </c>
      <c r="B107" s="26">
        <f t="shared" si="3"/>
        <v>198252430.71536148</v>
      </c>
    </row>
    <row r="108" spans="1:2" x14ac:dyDescent="0.35">
      <c r="A108">
        <f t="shared" si="2"/>
        <v>52</v>
      </c>
      <c r="B108" s="26">
        <f t="shared" si="3"/>
        <v>194606520.16025463</v>
      </c>
    </row>
    <row r="109" spans="1:2" x14ac:dyDescent="0.35">
      <c r="A109">
        <f t="shared" si="2"/>
        <v>53</v>
      </c>
      <c r="B109" s="26">
        <f t="shared" si="3"/>
        <v>191027658.78950268</v>
      </c>
    </row>
    <row r="110" spans="1:2" x14ac:dyDescent="0.35">
      <c r="A110">
        <f t="shared" si="2"/>
        <v>54</v>
      </c>
      <c r="B110" s="26">
        <f t="shared" si="3"/>
        <v>187514613.55225185</v>
      </c>
    </row>
    <row r="111" spans="1:2" x14ac:dyDescent="0.35">
      <c r="A111">
        <f t="shared" si="2"/>
        <v>55</v>
      </c>
      <c r="B111" s="26">
        <f t="shared" si="3"/>
        <v>184066174.07375434</v>
      </c>
    </row>
    <row r="112" spans="1:2" x14ac:dyDescent="0.35">
      <c r="A112">
        <f t="shared" si="2"/>
        <v>56</v>
      </c>
      <c r="B112" s="26">
        <f t="shared" si="3"/>
        <v>180681152.23834923</v>
      </c>
    </row>
    <row r="113" spans="1:2" x14ac:dyDescent="0.35">
      <c r="A113">
        <f t="shared" si="2"/>
        <v>57</v>
      </c>
      <c r="B113" s="26">
        <f t="shared" si="3"/>
        <v>177358381.7801123</v>
      </c>
    </row>
    <row r="114" spans="1:2" x14ac:dyDescent="0.35">
      <c r="A114">
        <f>A113+1</f>
        <v>58</v>
      </c>
      <c r="B114" s="26">
        <f t="shared" si="3"/>
        <v>174096717.88103417</v>
      </c>
    </row>
    <row r="115" spans="1:2" x14ac:dyDescent="0.35">
      <c r="A115">
        <f t="shared" si="2"/>
        <v>59</v>
      </c>
      <c r="B115" s="26">
        <f t="shared" si="3"/>
        <v>170895036.77658781</v>
      </c>
    </row>
    <row r="116" spans="1:2" x14ac:dyDescent="0.35">
      <c r="A116">
        <f t="shared" si="2"/>
        <v>60</v>
      </c>
      <c r="B116" s="26">
        <f t="shared" si="3"/>
        <v>167752235.36855015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0C3FA1-C501-488F-99EF-B28CB9021ECA}">
  <dimension ref="A1:Q35"/>
  <sheetViews>
    <sheetView tabSelected="1" zoomScale="55" workbookViewId="0">
      <selection activeCell="D15" sqref="D15"/>
    </sheetView>
  </sheetViews>
  <sheetFormatPr defaultColWidth="8.81640625" defaultRowHeight="14.5" x14ac:dyDescent="0.35"/>
  <cols>
    <col min="1" max="1" width="25" customWidth="1"/>
    <col min="2" max="2" width="30.08984375" customWidth="1"/>
    <col min="3" max="3" width="19.1796875" customWidth="1"/>
    <col min="4" max="4" width="19.453125" customWidth="1"/>
    <col min="6" max="6" width="29.453125" customWidth="1"/>
    <col min="7" max="7" width="12.453125" customWidth="1"/>
    <col min="8" max="8" width="15.6328125" customWidth="1"/>
    <col min="9" max="9" width="12" customWidth="1"/>
    <col min="10" max="10" width="14.453125" customWidth="1"/>
    <col min="11" max="11" width="12.81640625" customWidth="1"/>
    <col min="12" max="12" width="10.6328125" customWidth="1"/>
    <col min="13" max="13" width="11.6328125" customWidth="1"/>
    <col min="15" max="15" width="12.453125" customWidth="1"/>
    <col min="17" max="17" width="12.81640625" customWidth="1"/>
  </cols>
  <sheetData>
    <row r="1" spans="1:13" s="12" customFormat="1" x14ac:dyDescent="0.35">
      <c r="A1" s="12" t="s">
        <v>86</v>
      </c>
      <c r="B1" s="12" t="s">
        <v>87</v>
      </c>
    </row>
    <row r="2" spans="1:13" x14ac:dyDescent="0.35">
      <c r="B2" s="1"/>
    </row>
    <row r="3" spans="1:13" ht="29" x14ac:dyDescent="0.35">
      <c r="A3" s="3" t="s">
        <v>2</v>
      </c>
      <c r="B3" s="1" t="s">
        <v>100</v>
      </c>
      <c r="C3" s="2">
        <f>10*D11*G15*8/1254</f>
        <v>166440829.34609249</v>
      </c>
      <c r="F3" t="s">
        <v>55</v>
      </c>
    </row>
    <row r="4" spans="1:13" x14ac:dyDescent="0.35">
      <c r="A4" s="3"/>
      <c r="B4" s="1" t="s">
        <v>16</v>
      </c>
      <c r="C4" s="2">
        <f xml:space="preserve"> 0.05*C3</f>
        <v>8322041.4673046246</v>
      </c>
      <c r="F4" t="s">
        <v>56</v>
      </c>
      <c r="G4">
        <v>12</v>
      </c>
    </row>
    <row r="5" spans="1:13" x14ac:dyDescent="0.35">
      <c r="A5" s="3"/>
      <c r="B5" s="4" t="s">
        <v>12</v>
      </c>
      <c r="C5" s="5">
        <f>C4</f>
        <v>8322041.4673046246</v>
      </c>
      <c r="F5" t="s">
        <v>57</v>
      </c>
      <c r="G5">
        <v>12</v>
      </c>
    </row>
    <row r="6" spans="1:13" x14ac:dyDescent="0.35">
      <c r="B6" s="1"/>
      <c r="F6" t="s">
        <v>58</v>
      </c>
      <c r="G6">
        <v>2</v>
      </c>
    </row>
    <row r="7" spans="1:13" x14ac:dyDescent="0.35">
      <c r="A7" s="3" t="s">
        <v>93</v>
      </c>
      <c r="B7" s="1"/>
      <c r="C7" s="40">
        <f>C5*52</f>
        <v>432746156.29984045</v>
      </c>
      <c r="F7" t="s">
        <v>59</v>
      </c>
      <c r="G7">
        <v>5</v>
      </c>
    </row>
    <row r="8" spans="1:13" x14ac:dyDescent="0.35">
      <c r="B8" s="1"/>
      <c r="F8" t="s">
        <v>61</v>
      </c>
      <c r="G8">
        <v>17</v>
      </c>
      <c r="H8" s="33" t="s">
        <v>90</v>
      </c>
    </row>
    <row r="9" spans="1:13" x14ac:dyDescent="0.35">
      <c r="B9" s="1"/>
      <c r="F9" t="s">
        <v>62</v>
      </c>
      <c r="G9">
        <v>27</v>
      </c>
    </row>
    <row r="10" spans="1:13" x14ac:dyDescent="0.35">
      <c r="B10" s="1"/>
      <c r="C10" s="37" t="s">
        <v>51</v>
      </c>
      <c r="D10" s="37" t="s">
        <v>88</v>
      </c>
      <c r="G10" s="1"/>
      <c r="H10" s="1"/>
      <c r="I10" s="1"/>
      <c r="J10" s="4"/>
      <c r="K10" s="1"/>
      <c r="L10" s="1"/>
      <c r="M10" s="4"/>
    </row>
    <row r="11" spans="1:13" ht="29" x14ac:dyDescent="0.35">
      <c r="A11" s="1" t="s">
        <v>50</v>
      </c>
      <c r="B11" s="36" t="s">
        <v>4</v>
      </c>
      <c r="C11">
        <v>3416</v>
      </c>
      <c r="D11">
        <v>2104</v>
      </c>
      <c r="F11" t="s">
        <v>63</v>
      </c>
      <c r="G11" s="1">
        <v>25</v>
      </c>
      <c r="H11" s="1"/>
      <c r="I11" s="1"/>
      <c r="J11" s="4"/>
      <c r="K11" s="1"/>
      <c r="L11" s="1"/>
      <c r="M11" s="4"/>
    </row>
    <row r="12" spans="1:13" x14ac:dyDescent="0.35">
      <c r="B12" s="36" t="s">
        <v>49</v>
      </c>
      <c r="C12">
        <v>2742</v>
      </c>
      <c r="D12">
        <v>3089</v>
      </c>
      <c r="F12" t="s">
        <v>64</v>
      </c>
      <c r="G12" s="1">
        <v>20</v>
      </c>
      <c r="H12" s="1"/>
      <c r="I12" s="1"/>
      <c r="J12" s="4"/>
      <c r="K12" s="1"/>
      <c r="L12" s="1"/>
      <c r="M12" s="4"/>
    </row>
    <row r="13" spans="1:13" x14ac:dyDescent="0.35">
      <c r="B13" s="36" t="s">
        <v>7</v>
      </c>
      <c r="C13">
        <v>3119</v>
      </c>
      <c r="D13">
        <v>3514</v>
      </c>
      <c r="G13" s="1"/>
      <c r="H13" s="1"/>
      <c r="I13" s="1"/>
      <c r="J13" s="4"/>
      <c r="K13" s="1"/>
      <c r="L13" s="1"/>
      <c r="M13" s="4"/>
    </row>
    <row r="14" spans="1:13" x14ac:dyDescent="0.35">
      <c r="B14" s="36" t="s">
        <v>6</v>
      </c>
      <c r="C14">
        <v>235</v>
      </c>
      <c r="D14">
        <v>265</v>
      </c>
      <c r="F14" t="s">
        <v>78</v>
      </c>
      <c r="G14" s="1">
        <v>6.1500000000000001E-3</v>
      </c>
      <c r="H14" s="1"/>
      <c r="I14" s="1"/>
      <c r="J14" s="4"/>
      <c r="K14" s="1"/>
      <c r="L14" s="1"/>
      <c r="M14" s="4"/>
    </row>
    <row r="15" spans="1:13" x14ac:dyDescent="0.35">
      <c r="B15" s="36" t="s">
        <v>53</v>
      </c>
      <c r="C15">
        <f>SUM(C11:C14)</f>
        <v>9512</v>
      </c>
      <c r="D15">
        <f>SUM(D11:D14)</f>
        <v>8972</v>
      </c>
      <c r="F15" t="s">
        <v>99</v>
      </c>
      <c r="G15" s="7">
        <v>1240000</v>
      </c>
      <c r="H15" s="1"/>
      <c r="I15" s="1"/>
      <c r="J15" s="4"/>
      <c r="K15" s="1"/>
      <c r="L15" s="1"/>
      <c r="M15" s="4"/>
    </row>
    <row r="16" spans="1:13" x14ac:dyDescent="0.35">
      <c r="B16" s="1"/>
      <c r="G16" s="1"/>
      <c r="H16" s="1"/>
      <c r="I16" s="1"/>
      <c r="J16" s="4"/>
      <c r="K16" s="1"/>
      <c r="L16" s="1"/>
      <c r="M16" s="4"/>
    </row>
    <row r="17" spans="1:17" x14ac:dyDescent="0.35">
      <c r="G17" s="1"/>
      <c r="H17" s="1"/>
      <c r="I17" s="1"/>
      <c r="J17" s="4"/>
      <c r="K17" s="1"/>
      <c r="L17" s="1"/>
      <c r="M17" s="4"/>
    </row>
    <row r="18" spans="1:17" x14ac:dyDescent="0.35">
      <c r="A18" t="s">
        <v>65</v>
      </c>
      <c r="B18" s="1"/>
      <c r="F18" s="1"/>
      <c r="H18" s="1"/>
      <c r="J18" s="3"/>
      <c r="M18" s="3"/>
    </row>
    <row r="19" spans="1:17" x14ac:dyDescent="0.35">
      <c r="G19" s="3" t="s">
        <v>77</v>
      </c>
      <c r="J19" s="33"/>
    </row>
    <row r="20" spans="1:17" x14ac:dyDescent="0.35">
      <c r="G20" s="21"/>
      <c r="H20" s="21" t="s">
        <v>11</v>
      </c>
      <c r="I20" s="21"/>
      <c r="J20" s="21"/>
      <c r="K20" s="17"/>
      <c r="L20" s="17" t="s">
        <v>72</v>
      </c>
      <c r="M20" s="17"/>
      <c r="N20" s="17"/>
      <c r="O20" s="17"/>
      <c r="P20" s="22" t="s">
        <v>76</v>
      </c>
      <c r="Q20" s="22"/>
    </row>
    <row r="21" spans="1:17" ht="87" x14ac:dyDescent="0.35">
      <c r="F21" t="s">
        <v>13</v>
      </c>
      <c r="G21" s="1" t="s">
        <v>8</v>
      </c>
      <c r="H21" s="1" t="s">
        <v>95</v>
      </c>
      <c r="I21" s="1" t="s">
        <v>96</v>
      </c>
      <c r="J21" s="4" t="s">
        <v>73</v>
      </c>
      <c r="K21" s="1" t="s">
        <v>71</v>
      </c>
      <c r="L21" s="1" t="s">
        <v>68</v>
      </c>
      <c r="M21" s="1" t="s">
        <v>70</v>
      </c>
      <c r="N21" s="1" t="s">
        <v>69</v>
      </c>
      <c r="O21" s="4" t="s">
        <v>10</v>
      </c>
      <c r="P21" s="1" t="s">
        <v>74</v>
      </c>
      <c r="Q21" s="1" t="s">
        <v>75</v>
      </c>
    </row>
    <row r="22" spans="1:17" x14ac:dyDescent="0.35">
      <c r="B22" s="1"/>
      <c r="F22" s="1" t="s">
        <v>4</v>
      </c>
      <c r="G22" s="7">
        <v>23.3</v>
      </c>
      <c r="H22" s="15">
        <v>0</v>
      </c>
      <c r="I22" s="38">
        <v>0</v>
      </c>
      <c r="J22" s="39">
        <f>H22+I22</f>
        <v>0</v>
      </c>
      <c r="K22">
        <f>C11*G4-D11*G4</f>
        <v>15744</v>
      </c>
      <c r="L22" s="7">
        <v>192</v>
      </c>
      <c r="M22">
        <f>L22/1000000</f>
        <v>1.92E-4</v>
      </c>
      <c r="N22" s="7">
        <v>90</v>
      </c>
      <c r="O22" s="3">
        <f>K22*M22*N22</f>
        <v>272.05632000000003</v>
      </c>
      <c r="P22" s="7">
        <f>(0.012+0.031)/2</f>
        <v>2.1499999999999998E-2</v>
      </c>
      <c r="Q22">
        <f>K22*P22</f>
        <v>338.49599999999998</v>
      </c>
    </row>
    <row r="23" spans="1:17" x14ac:dyDescent="0.35">
      <c r="A23" s="3" t="s">
        <v>0</v>
      </c>
      <c r="B23" s="1" t="s">
        <v>15</v>
      </c>
      <c r="C23" s="2">
        <f>-10*D11*G15*8/1254</f>
        <v>-166440829.34609249</v>
      </c>
      <c r="F23" s="1" t="s">
        <v>5</v>
      </c>
      <c r="G23" s="7">
        <v>14.4</v>
      </c>
      <c r="H23">
        <v>0</v>
      </c>
      <c r="I23" s="38">
        <f>0.5*(D12-C12)*G9*(G22-G23)/60</f>
        <v>694.86750000000006</v>
      </c>
      <c r="J23" s="39">
        <f>H23+I23</f>
        <v>694.86750000000006</v>
      </c>
      <c r="K23">
        <f>C12*G5-D12*G5</f>
        <v>-4164</v>
      </c>
      <c r="L23" s="7">
        <v>35</v>
      </c>
      <c r="M23">
        <f t="shared" ref="M23:M25" si="0">L23/1000000</f>
        <v>3.4999999999999997E-5</v>
      </c>
      <c r="N23" s="7">
        <v>90</v>
      </c>
      <c r="O23" s="3">
        <f>K23*M23*N23</f>
        <v>-13.116599999999998</v>
      </c>
      <c r="P23">
        <v>0</v>
      </c>
      <c r="Q23" s="19"/>
    </row>
    <row r="24" spans="1:17" x14ac:dyDescent="0.35">
      <c r="B24" s="1" t="s">
        <v>3</v>
      </c>
      <c r="C24" s="2">
        <f>10*D11*G15*8/1254</f>
        <v>166440829.34609249</v>
      </c>
      <c r="F24" s="1" t="s">
        <v>7</v>
      </c>
      <c r="G24" s="18"/>
      <c r="H24" s="19"/>
      <c r="I24" s="20"/>
      <c r="J24" s="20"/>
      <c r="K24">
        <f>D13*G6-C13*G6</f>
        <v>790</v>
      </c>
      <c r="L24" s="7">
        <v>0</v>
      </c>
      <c r="M24">
        <f t="shared" si="0"/>
        <v>0</v>
      </c>
      <c r="N24" s="7">
        <v>90</v>
      </c>
      <c r="O24" s="3">
        <f>K24*M24*N24</f>
        <v>0</v>
      </c>
      <c r="P24">
        <v>0</v>
      </c>
      <c r="Q24" s="19"/>
    </row>
    <row r="25" spans="1:17" x14ac:dyDescent="0.35">
      <c r="B25" s="1" t="s">
        <v>11</v>
      </c>
      <c r="C25" s="2">
        <f>SUM(J22:J25)*G15*8/1254</f>
        <v>5496878.468899522</v>
      </c>
      <c r="F25" s="1" t="s">
        <v>6</v>
      </c>
      <c r="G25" s="18"/>
      <c r="H25" s="19"/>
      <c r="I25" s="19"/>
      <c r="J25" s="19"/>
      <c r="K25">
        <f>D14*G7-C14*G7</f>
        <v>150</v>
      </c>
      <c r="L25" s="7">
        <v>0</v>
      </c>
      <c r="M25">
        <f t="shared" si="0"/>
        <v>0</v>
      </c>
      <c r="N25" s="7">
        <v>90</v>
      </c>
      <c r="O25" s="3">
        <f>K25*L25*N25</f>
        <v>0</v>
      </c>
      <c r="P25">
        <v>0</v>
      </c>
      <c r="Q25" s="19"/>
    </row>
    <row r="26" spans="1:17" x14ac:dyDescent="0.35">
      <c r="B26" s="1" t="s">
        <v>9</v>
      </c>
      <c r="C26" s="2">
        <f>SUM(O22:O25)*G15*8/1254</f>
        <v>2048390.7674641148</v>
      </c>
      <c r="F26" s="1"/>
      <c r="G26" s="18"/>
      <c r="H26" s="19"/>
      <c r="I26" s="19"/>
      <c r="J26" s="19"/>
      <c r="L26" s="7"/>
      <c r="N26" s="7"/>
      <c r="O26" s="3"/>
      <c r="Q26" s="19"/>
    </row>
    <row r="27" spans="1:17" x14ac:dyDescent="0.35">
      <c r="B27" s="1" t="s">
        <v>91</v>
      </c>
      <c r="C27" s="2">
        <f>SUM(Q22:Q25)*G15*8/1254</f>
        <v>2677735.5023923446</v>
      </c>
    </row>
    <row r="28" spans="1:17" x14ac:dyDescent="0.35">
      <c r="B28" s="4" t="s">
        <v>12</v>
      </c>
      <c r="C28" s="5">
        <f>SUM(C24:C27)</f>
        <v>176663834.08484846</v>
      </c>
    </row>
    <row r="29" spans="1:17" x14ac:dyDescent="0.35">
      <c r="A29" t="s">
        <v>94</v>
      </c>
      <c r="B29" s="4"/>
      <c r="C29" s="5"/>
    </row>
    <row r="30" spans="1:17" x14ac:dyDescent="0.35">
      <c r="B30" s="4" t="s">
        <v>12</v>
      </c>
      <c r="C30" s="40">
        <f>C28*52</f>
        <v>9186519372.4121208</v>
      </c>
    </row>
    <row r="31" spans="1:17" x14ac:dyDescent="0.35">
      <c r="A31" s="43" t="s">
        <v>17</v>
      </c>
      <c r="B31" s="1"/>
    </row>
    <row r="32" spans="1:17" x14ac:dyDescent="0.35">
      <c r="B32" s="44">
        <f>C30/C7</f>
        <v>21.228425114068443</v>
      </c>
      <c r="C32" s="8" t="s">
        <v>92</v>
      </c>
    </row>
    <row r="33" spans="2:2" x14ac:dyDescent="0.35">
      <c r="B33" s="1"/>
    </row>
    <row r="34" spans="2:2" x14ac:dyDescent="0.35">
      <c r="B34" s="1"/>
    </row>
    <row r="35" spans="2:2" x14ac:dyDescent="0.35">
      <c r="B35" s="1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Project 2</vt:lpstr>
      <vt:lpstr>Project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Thibault Vignon</dc:creator>
  <cp:lastModifiedBy>Thibault Vignon</cp:lastModifiedBy>
  <dcterms:created xsi:type="dcterms:W3CDTF">2022-12-09T07:28:57Z</dcterms:created>
  <dcterms:modified xsi:type="dcterms:W3CDTF">2022-12-11T16:00:54Z</dcterms:modified>
</cp:coreProperties>
</file>