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630b34756993743/Desktop/ETHZ/Transport Planning Methods/TransportPlanning/"/>
    </mc:Choice>
  </mc:AlternateContent>
  <xr:revisionPtr revIDLastSave="121" documentId="8_{0E4BBA78-41F4-49A5-AD3E-27DA39652588}" xr6:coauthVersionLast="47" xr6:coauthVersionMax="47" xr10:uidLastSave="{CBF53582-4725-41E0-A488-5C2950EC4B91}"/>
  <bookViews>
    <workbookView xWindow="-110" yWindow="-110" windowWidth="19420" windowHeight="10300" xr2:uid="{CB19214C-161C-4FCD-BB74-FBBD26C9B7EC}"/>
  </bookViews>
  <sheets>
    <sheet name="Project 2" sheetId="1" r:id="rId1"/>
    <sheet name="Project 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9" i="1" l="1"/>
  <c r="D17" i="1"/>
  <c r="D15" i="1"/>
  <c r="D12" i="1"/>
  <c r="D8" i="1"/>
  <c r="H11" i="1"/>
  <c r="D6" i="1"/>
  <c r="D5" i="1"/>
  <c r="D4" i="1"/>
  <c r="D3" i="1"/>
  <c r="B12" i="2"/>
  <c r="C5" i="2"/>
  <c r="C4" i="2"/>
  <c r="N22" i="1"/>
  <c r="K22" i="1"/>
  <c r="N21" i="1"/>
  <c r="K21" i="1"/>
  <c r="N20" i="1"/>
  <c r="K20" i="1"/>
  <c r="N19" i="1"/>
  <c r="K19" i="1"/>
  <c r="D19" i="1" s="1"/>
  <c r="M3" i="2"/>
  <c r="M6" i="2"/>
  <c r="M7" i="2"/>
  <c r="M2" i="2"/>
  <c r="J3" i="2"/>
  <c r="J6" i="2"/>
  <c r="J7" i="2"/>
  <c r="J2" i="2"/>
  <c r="C8" i="2" s="1"/>
  <c r="C3" i="2"/>
  <c r="C7" i="2"/>
  <c r="D20" i="1" l="1"/>
  <c r="D21" i="1" s="1"/>
  <c r="D23" i="1" s="1"/>
  <c r="D25" i="1" s="1"/>
  <c r="D11" i="1"/>
  <c r="D9" i="1"/>
  <c r="C9" i="2"/>
  <c r="C10" i="2"/>
  <c r="D13" i="1" l="1"/>
</calcChain>
</file>

<file path=xl/sharedStrings.xml><?xml version="1.0" encoding="utf-8"?>
<sst xmlns="http://schemas.openxmlformats.org/spreadsheetml/2006/main" count="60" uniqueCount="43">
  <si>
    <t>Weekly benefits</t>
  </si>
  <si>
    <t>Benefits</t>
  </si>
  <si>
    <t>Weekly costs</t>
  </si>
  <si>
    <t>Public revenue from the tax</t>
  </si>
  <si>
    <t>Car</t>
  </si>
  <si>
    <t>Public transport</t>
  </si>
  <si>
    <t>Bike</t>
  </si>
  <si>
    <t>Walk</t>
  </si>
  <si>
    <t>Value of travel time (CHF/hour)</t>
  </si>
  <si>
    <t>Average speed (km/hour)</t>
  </si>
  <si>
    <t>Change in distance travelled (km)</t>
  </si>
  <si>
    <t>Travel time savings (CHF)</t>
  </si>
  <si>
    <t>CO2 emissions per km</t>
  </si>
  <si>
    <t>Value of C02 emissions</t>
  </si>
  <si>
    <t>Emissions reductions savings</t>
  </si>
  <si>
    <t>Emissions reductions savings (CHF)</t>
  </si>
  <si>
    <t>Travel time savings</t>
  </si>
  <si>
    <t>Total</t>
  </si>
  <si>
    <t>Number of weekly trips through zone Zurich :</t>
  </si>
  <si>
    <t>Mode :</t>
  </si>
  <si>
    <t>Mode:</t>
  </si>
  <si>
    <t>Length of tunnel (m)</t>
  </si>
  <si>
    <t>Cost of tax to drivers</t>
  </si>
  <si>
    <t>Operating costs (assuming 5%)</t>
  </si>
  <si>
    <t>Benefit/cost ratio</t>
  </si>
  <si>
    <t>Tunnel construction</t>
  </si>
  <si>
    <t>EW 300 Switch (x4)</t>
  </si>
  <si>
    <t>Slab track</t>
  </si>
  <si>
    <t>Catenary</t>
  </si>
  <si>
    <t>Interlocking station</t>
  </si>
  <si>
    <t>Signals (x8)</t>
  </si>
  <si>
    <t>Costs</t>
  </si>
  <si>
    <t>CAPEX costs</t>
  </si>
  <si>
    <t>Total :</t>
  </si>
  <si>
    <t>Operating costs</t>
  </si>
  <si>
    <t>Track renewal (after 15, 30 &amp; 45 years)</t>
  </si>
  <si>
    <t>Catenary renewal (after 10, 20, 30, 40 &amp; 50 years)</t>
  </si>
  <si>
    <t>Annual discount rate</t>
  </si>
  <si>
    <t>Weekly</t>
  </si>
  <si>
    <r>
      <t xml:space="preserve">Yearly </t>
    </r>
    <r>
      <rPr>
        <sz val="11"/>
        <color theme="1"/>
        <rFont val="Calibri"/>
        <family val="2"/>
        <scheme val="minor"/>
      </rPr>
      <t>(non-discounted)</t>
    </r>
  </si>
  <si>
    <r>
      <rPr>
        <b/>
        <sz val="11"/>
        <color theme="1"/>
        <rFont val="Calibri"/>
        <family val="2"/>
        <scheme val="minor"/>
      </rPr>
      <t>Overall</t>
    </r>
    <r>
      <rPr>
        <sz val="11"/>
        <color theme="1"/>
        <rFont val="Calibri"/>
        <family val="2"/>
        <scheme val="minor"/>
      </rPr>
      <t xml:space="preserve"> (60-year period)</t>
    </r>
  </si>
  <si>
    <r>
      <rPr>
        <b/>
        <sz val="11"/>
        <color theme="1"/>
        <rFont val="Calibri"/>
        <family val="2"/>
        <scheme val="minor"/>
      </rPr>
      <t xml:space="preserve">Overall </t>
    </r>
    <r>
      <rPr>
        <sz val="11"/>
        <color theme="1"/>
        <rFont val="Calibri"/>
        <family val="2"/>
        <scheme val="minor"/>
      </rPr>
      <t>(60-year period)</t>
    </r>
  </si>
  <si>
    <t>Project management (5%)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</si>
</sst>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CHF-100C]_-;\-* #,##0.00\ [$CHF-100C]_-;_-* &quot;-&quot;??\ [$CHF-100C]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1" fillId="0" borderId="0" xfId="0" applyFont="1"/>
    <xf numFmtId="0" fontId="0" fillId="0" borderId="0" xfId="0" applyAlignment="1"/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164" fontId="1" fillId="0" borderId="0" xfId="0" applyNumberFormat="1" applyFont="1"/>
    <xf numFmtId="164" fontId="0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3A40F-175A-4EEC-B4D7-09BE1D9F546C}">
  <dimension ref="A1:N29"/>
  <sheetViews>
    <sheetView tabSelected="1" topLeftCell="A17" workbookViewId="0">
      <selection activeCell="C24" sqref="C24"/>
    </sheetView>
  </sheetViews>
  <sheetFormatPr defaultRowHeight="14.5" x14ac:dyDescent="0.35"/>
  <cols>
    <col min="1" max="1" width="12.6328125" customWidth="1"/>
    <col min="2" max="2" width="21.08984375" customWidth="1"/>
    <col min="3" max="3" width="19.7265625" customWidth="1"/>
    <col min="4" max="4" width="20.1796875" bestFit="1" customWidth="1"/>
    <col min="5" max="5" width="5.54296875" customWidth="1"/>
    <col min="6" max="6" width="18.26953125" customWidth="1"/>
    <col min="7" max="7" width="9.7265625" customWidth="1"/>
  </cols>
  <sheetData>
    <row r="1" spans="1:8" x14ac:dyDescent="0.35">
      <c r="C1" s="6" t="s">
        <v>21</v>
      </c>
      <c r="D1">
        <v>8000</v>
      </c>
    </row>
    <row r="2" spans="1:8" x14ac:dyDescent="0.35">
      <c r="C2" s="1"/>
    </row>
    <row r="3" spans="1:8" x14ac:dyDescent="0.35">
      <c r="A3" s="3" t="s">
        <v>31</v>
      </c>
      <c r="B3" s="3" t="s">
        <v>32</v>
      </c>
      <c r="C3" s="1" t="s">
        <v>25</v>
      </c>
      <c r="D3" s="2">
        <f>130000*D1</f>
        <v>1040000000</v>
      </c>
    </row>
    <row r="4" spans="1:8" x14ac:dyDescent="0.35">
      <c r="C4" s="1" t="s">
        <v>26</v>
      </c>
      <c r="D4" s="2">
        <f>4*320000</f>
        <v>1280000</v>
      </c>
    </row>
    <row r="5" spans="1:8" x14ac:dyDescent="0.35">
      <c r="C5" s="1" t="s">
        <v>27</v>
      </c>
      <c r="D5" s="2">
        <f>4400*D1</f>
        <v>35200000</v>
      </c>
    </row>
    <row r="6" spans="1:8" x14ac:dyDescent="0.35">
      <c r="C6" s="1" t="s">
        <v>28</v>
      </c>
      <c r="D6" s="2">
        <f>940*D1</f>
        <v>7520000</v>
      </c>
    </row>
    <row r="7" spans="1:8" x14ac:dyDescent="0.35">
      <c r="C7" s="1" t="s">
        <v>29</v>
      </c>
      <c r="D7" s="2">
        <v>4200000</v>
      </c>
    </row>
    <row r="8" spans="1:8" x14ac:dyDescent="0.35">
      <c r="C8" s="1" t="s">
        <v>30</v>
      </c>
      <c r="D8" s="2">
        <f>8*80000</f>
        <v>640000</v>
      </c>
    </row>
    <row r="9" spans="1:8" x14ac:dyDescent="0.35">
      <c r="C9" s="5" t="s">
        <v>33</v>
      </c>
      <c r="D9" s="7">
        <f>SUM(D3:D8)</f>
        <v>1088840000</v>
      </c>
    </row>
    <row r="10" spans="1:8" x14ac:dyDescent="0.35">
      <c r="C10" s="5"/>
      <c r="D10" s="7"/>
    </row>
    <row r="11" spans="1:8" ht="29" x14ac:dyDescent="0.35">
      <c r="B11" s="3" t="s">
        <v>34</v>
      </c>
      <c r="C11" s="1" t="s">
        <v>35</v>
      </c>
      <c r="D11" s="2">
        <f>D5*(H11^15 + H11^30 + H11^15 + H11^45)</f>
        <v>75890080.917404711</v>
      </c>
      <c r="F11" s="4" t="s">
        <v>37</v>
      </c>
      <c r="G11">
        <v>2.5000000000000001E-2</v>
      </c>
      <c r="H11">
        <f xml:space="preserve"> 1 - G11</f>
        <v>0.97499999999999998</v>
      </c>
    </row>
    <row r="12" spans="1:8" ht="43.5" x14ac:dyDescent="0.35">
      <c r="C12" s="1" t="s">
        <v>36</v>
      </c>
      <c r="D12" s="2">
        <f>D6*(H11^10 + H11^20 + H11^30 + H11^40 + H11^50 )</f>
        <v>18740758.504709229</v>
      </c>
    </row>
    <row r="13" spans="1:8" x14ac:dyDescent="0.35">
      <c r="C13" s="5" t="s">
        <v>33</v>
      </c>
      <c r="D13" s="7">
        <f>D11+D12</f>
        <v>94630839.42211394</v>
      </c>
    </row>
    <row r="14" spans="1:8" x14ac:dyDescent="0.35">
      <c r="C14" s="5"/>
      <c r="D14" s="7"/>
    </row>
    <row r="15" spans="1:8" ht="29" x14ac:dyDescent="0.35">
      <c r="B15" s="5" t="s">
        <v>42</v>
      </c>
      <c r="C15" s="5"/>
      <c r="D15" s="7">
        <f>0.05*(D9+D13)</f>
        <v>59173541.971105695</v>
      </c>
    </row>
    <row r="16" spans="1:8" x14ac:dyDescent="0.35">
      <c r="C16" s="5"/>
      <c r="D16" s="2"/>
    </row>
    <row r="17" spans="1:14" x14ac:dyDescent="0.35">
      <c r="B17" t="s">
        <v>41</v>
      </c>
      <c r="C17" s="1"/>
      <c r="D17" s="7">
        <f>D9+D13+D15</f>
        <v>1242644381.3932195</v>
      </c>
    </row>
    <row r="18" spans="1:14" ht="87" x14ac:dyDescent="0.35">
      <c r="C18" s="1"/>
      <c r="G18" t="s">
        <v>20</v>
      </c>
      <c r="H18" s="6" t="s">
        <v>8</v>
      </c>
      <c r="I18" s="1" t="s">
        <v>9</v>
      </c>
      <c r="J18" s="1" t="s">
        <v>10</v>
      </c>
      <c r="K18" s="5" t="s">
        <v>11</v>
      </c>
      <c r="L18" s="1" t="s">
        <v>12</v>
      </c>
      <c r="M18" s="1" t="s">
        <v>13</v>
      </c>
      <c r="N18" s="5" t="s">
        <v>15</v>
      </c>
    </row>
    <row r="19" spans="1:14" x14ac:dyDescent="0.35">
      <c r="A19" s="3" t="s">
        <v>1</v>
      </c>
      <c r="B19" s="3" t="s">
        <v>38</v>
      </c>
      <c r="C19" s="1" t="s">
        <v>16</v>
      </c>
      <c r="D19" s="2" t="e">
        <f>SUM(K19:K22)</f>
        <v>#DIV/0!</v>
      </c>
      <c r="G19" s="1" t="s">
        <v>4</v>
      </c>
      <c r="I19" s="1"/>
      <c r="K19" s="3" t="e">
        <f>H19*J19/I19</f>
        <v>#DIV/0!</v>
      </c>
      <c r="N19" s="3">
        <f>J19*L19*M19</f>
        <v>0</v>
      </c>
    </row>
    <row r="20" spans="1:14" ht="29" x14ac:dyDescent="0.35">
      <c r="C20" s="1" t="s">
        <v>14</v>
      </c>
      <c r="D20" s="2">
        <f>SUM(N19:N22)</f>
        <v>0</v>
      </c>
      <c r="G20" s="1" t="s">
        <v>5</v>
      </c>
      <c r="I20" s="1"/>
      <c r="K20" s="3" t="e">
        <f t="shared" ref="K20:K22" si="0">H20*J20/I20</f>
        <v>#DIV/0!</v>
      </c>
      <c r="N20" s="3">
        <f t="shared" ref="N20:N22" si="1">J20*L20*M20</f>
        <v>0</v>
      </c>
    </row>
    <row r="21" spans="1:14" x14ac:dyDescent="0.35">
      <c r="C21" s="5" t="s">
        <v>17</v>
      </c>
      <c r="D21" s="2" t="e">
        <f>D19+D20</f>
        <v>#DIV/0!</v>
      </c>
      <c r="G21" s="1" t="s">
        <v>6</v>
      </c>
      <c r="I21" s="1"/>
      <c r="K21" s="3" t="e">
        <f t="shared" si="0"/>
        <v>#DIV/0!</v>
      </c>
      <c r="L21">
        <v>0</v>
      </c>
      <c r="N21" s="3">
        <f t="shared" si="1"/>
        <v>0</v>
      </c>
    </row>
    <row r="22" spans="1:14" x14ac:dyDescent="0.35">
      <c r="D22" s="2"/>
      <c r="G22" s="1" t="s">
        <v>7</v>
      </c>
      <c r="K22" s="3" t="e">
        <f t="shared" si="0"/>
        <v>#DIV/0!</v>
      </c>
      <c r="L22">
        <v>0</v>
      </c>
      <c r="N22" s="3">
        <f t="shared" si="1"/>
        <v>0</v>
      </c>
    </row>
    <row r="23" spans="1:14" x14ac:dyDescent="0.35">
      <c r="B23" s="3" t="s">
        <v>39</v>
      </c>
      <c r="D23" s="9" t="e">
        <f>52*D21</f>
        <v>#DIV/0!</v>
      </c>
    </row>
    <row r="24" spans="1:14" x14ac:dyDescent="0.35">
      <c r="D24" s="2"/>
    </row>
    <row r="25" spans="1:14" x14ac:dyDescent="0.35">
      <c r="B25" t="s">
        <v>40</v>
      </c>
      <c r="D25" s="2" t="e">
        <f>D23*(1 - H11^60) / (1-H11)</f>
        <v>#DIV/0!</v>
      </c>
    </row>
    <row r="29" spans="1:14" ht="29" x14ac:dyDescent="0.35">
      <c r="A29" s="5" t="s">
        <v>24</v>
      </c>
      <c r="B29" t="e">
        <f>D25/D17</f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C3FA1-C501-488F-99EF-B28CB9021ECA}">
  <dimension ref="A1:M15"/>
  <sheetViews>
    <sheetView workbookViewId="0">
      <selection activeCell="A12" sqref="A12"/>
    </sheetView>
  </sheetViews>
  <sheetFormatPr defaultRowHeight="14.5" x14ac:dyDescent="0.35"/>
  <cols>
    <col min="1" max="1" width="15.6328125" customWidth="1"/>
    <col min="2" max="2" width="27.26953125" customWidth="1"/>
    <col min="3" max="3" width="11.7265625" customWidth="1"/>
    <col min="7" max="7" width="12.453125" customWidth="1"/>
    <col min="8" max="8" width="15.7265625" customWidth="1"/>
    <col min="9" max="9" width="10.6328125" customWidth="1"/>
    <col min="11" max="11" width="12.81640625" customWidth="1"/>
    <col min="12" max="12" width="10.7265625" customWidth="1"/>
    <col min="13" max="13" width="11.6328125" customWidth="1"/>
  </cols>
  <sheetData>
    <row r="1" spans="1:13" ht="65" customHeight="1" x14ac:dyDescent="0.35">
      <c r="B1" s="1" t="s">
        <v>18</v>
      </c>
      <c r="F1" t="s">
        <v>19</v>
      </c>
      <c r="G1" s="6" t="s">
        <v>8</v>
      </c>
      <c r="H1" s="1" t="s">
        <v>9</v>
      </c>
      <c r="I1" s="1" t="s">
        <v>10</v>
      </c>
      <c r="J1" s="5" t="s">
        <v>11</v>
      </c>
      <c r="K1" s="1" t="s">
        <v>12</v>
      </c>
      <c r="L1" s="1" t="s">
        <v>13</v>
      </c>
      <c r="M1" s="5" t="s">
        <v>15</v>
      </c>
    </row>
    <row r="2" spans="1:13" x14ac:dyDescent="0.35">
      <c r="B2" s="1"/>
      <c r="F2" s="1" t="s">
        <v>4</v>
      </c>
      <c r="H2" s="1"/>
      <c r="J2" s="3" t="e">
        <f>G2*I2/H2</f>
        <v>#DIV/0!</v>
      </c>
      <c r="M2" s="3">
        <f>I2*K2*L2</f>
        <v>0</v>
      </c>
    </row>
    <row r="3" spans="1:13" ht="29" x14ac:dyDescent="0.35">
      <c r="A3" s="3" t="s">
        <v>2</v>
      </c>
      <c r="B3" s="1" t="s">
        <v>22</v>
      </c>
      <c r="C3" s="8">
        <f>10*C1</f>
        <v>0</v>
      </c>
      <c r="F3" s="1" t="s">
        <v>5</v>
      </c>
      <c r="H3" s="1"/>
      <c r="J3" s="3" t="e">
        <f t="shared" ref="J3:J7" si="0">G3*I3/H3</f>
        <v>#DIV/0!</v>
      </c>
      <c r="M3" s="3">
        <f t="shared" ref="M3:M7" si="1">I3*K3*L3</f>
        <v>0</v>
      </c>
    </row>
    <row r="4" spans="1:13" x14ac:dyDescent="0.35">
      <c r="A4" s="3"/>
      <c r="B4" s="1" t="s">
        <v>23</v>
      </c>
      <c r="C4" s="8">
        <f xml:space="preserve"> 0.05*C3</f>
        <v>0</v>
      </c>
      <c r="F4" s="1"/>
      <c r="H4" s="1"/>
      <c r="J4" s="3"/>
      <c r="M4" s="3"/>
    </row>
    <row r="5" spans="1:13" x14ac:dyDescent="0.35">
      <c r="A5" s="3"/>
      <c r="B5" s="5" t="s">
        <v>17</v>
      </c>
      <c r="C5" s="7">
        <f>SUM(C3:C4)</f>
        <v>0</v>
      </c>
      <c r="F5" s="1"/>
      <c r="H5" s="1"/>
      <c r="J5" s="3"/>
      <c r="M5" s="3"/>
    </row>
    <row r="6" spans="1:13" x14ac:dyDescent="0.35">
      <c r="B6" s="1"/>
      <c r="F6" s="1" t="s">
        <v>6</v>
      </c>
      <c r="H6" s="1"/>
      <c r="J6" s="3" t="e">
        <f t="shared" si="0"/>
        <v>#DIV/0!</v>
      </c>
      <c r="K6">
        <v>0</v>
      </c>
      <c r="M6" s="3">
        <f t="shared" si="1"/>
        <v>0</v>
      </c>
    </row>
    <row r="7" spans="1:13" x14ac:dyDescent="0.35">
      <c r="A7" s="3" t="s">
        <v>0</v>
      </c>
      <c r="B7" s="1" t="s">
        <v>3</v>
      </c>
      <c r="C7" s="2">
        <f>10*C1</f>
        <v>0</v>
      </c>
      <c r="F7" s="1" t="s">
        <v>7</v>
      </c>
      <c r="J7" s="3" t="e">
        <f t="shared" si="0"/>
        <v>#DIV/0!</v>
      </c>
      <c r="K7">
        <v>0</v>
      </c>
      <c r="M7" s="3">
        <f t="shared" si="1"/>
        <v>0</v>
      </c>
    </row>
    <row r="8" spans="1:13" x14ac:dyDescent="0.35">
      <c r="B8" s="1" t="s">
        <v>16</v>
      </c>
      <c r="C8" s="2" t="e">
        <f>SUM(J2:J7)</f>
        <v>#DIV/0!</v>
      </c>
    </row>
    <row r="9" spans="1:13" x14ac:dyDescent="0.35">
      <c r="B9" s="1" t="s">
        <v>14</v>
      </c>
      <c r="C9" s="2">
        <f>SUM(M2:M7)</f>
        <v>0</v>
      </c>
    </row>
    <row r="10" spans="1:13" x14ac:dyDescent="0.35">
      <c r="B10" s="5" t="s">
        <v>17</v>
      </c>
      <c r="C10" s="7" t="e">
        <f>SUM(C7:C9)</f>
        <v>#DIV/0!</v>
      </c>
    </row>
    <row r="11" spans="1:13" x14ac:dyDescent="0.35">
      <c r="B11" s="1"/>
    </row>
    <row r="12" spans="1:13" x14ac:dyDescent="0.35">
      <c r="A12" s="3" t="s">
        <v>24</v>
      </c>
      <c r="B12" s="1" t="e">
        <f>C10/C5</f>
        <v>#DIV/0!</v>
      </c>
    </row>
    <row r="13" spans="1:13" x14ac:dyDescent="0.35">
      <c r="B13" s="1"/>
    </row>
    <row r="14" spans="1:13" x14ac:dyDescent="0.35">
      <c r="B14" s="1"/>
    </row>
    <row r="15" spans="1:13" x14ac:dyDescent="0.35">
      <c r="B1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2</vt:lpstr>
      <vt:lpstr>Project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Thibault Vignon</dc:creator>
  <cp:lastModifiedBy>Thibault Vignon</cp:lastModifiedBy>
  <dcterms:created xsi:type="dcterms:W3CDTF">2022-12-09T07:28:57Z</dcterms:created>
  <dcterms:modified xsi:type="dcterms:W3CDTF">2022-12-09T08:28:52Z</dcterms:modified>
</cp:coreProperties>
</file>