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lmaheinonen/Downloads/"/>
    </mc:Choice>
  </mc:AlternateContent>
  <xr:revisionPtr revIDLastSave="0" documentId="13_ncr:1_{B60C97A6-90D9-F948-ACE4-80043545B60D}" xr6:coauthVersionLast="47" xr6:coauthVersionMax="47" xr10:uidLastSave="{00000000-0000-0000-0000-000000000000}"/>
  <bookViews>
    <workbookView xWindow="40" yWindow="500" windowWidth="28520" windowHeight="16580" activeTab="1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Q24" i="2"/>
  <c r="B65" i="1"/>
  <c r="J25" i="2"/>
  <c r="E14" i="2"/>
  <c r="E15" i="2"/>
  <c r="E16" i="2"/>
  <c r="E13" i="2"/>
  <c r="O25" i="2"/>
  <c r="O26" i="2"/>
  <c r="O27" i="2"/>
  <c r="O24" i="2"/>
  <c r="C5" i="2"/>
  <c r="C6" i="2"/>
  <c r="K25" i="2"/>
  <c r="C25" i="2"/>
  <c r="D25" i="2" s="1"/>
  <c r="L24" i="2"/>
  <c r="C26" i="2"/>
  <c r="D26" i="2" s="1"/>
  <c r="D40" i="1"/>
  <c r="L25" i="2"/>
  <c r="K24" i="2"/>
  <c r="B72" i="1"/>
  <c r="K37" i="1"/>
  <c r="L27" i="2"/>
  <c r="L26" i="2"/>
  <c r="N27" i="2"/>
  <c r="N26" i="2"/>
  <c r="N25" i="2"/>
  <c r="N24" i="2"/>
  <c r="D17" i="2"/>
  <c r="C17" i="2"/>
  <c r="P27" i="2" l="1"/>
  <c r="C7" i="2"/>
  <c r="C9" i="2" s="1"/>
  <c r="C27" i="2"/>
  <c r="R24" i="2"/>
  <c r="C29" i="2" s="1"/>
  <c r="D29" i="2" s="1"/>
  <c r="P25" i="2"/>
  <c r="P26" i="2"/>
  <c r="P24" i="2"/>
  <c r="C28" i="2" l="1"/>
  <c r="D28" i="2" s="1"/>
  <c r="D27" i="2"/>
  <c r="L38" i="1"/>
  <c r="L3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B71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10" i="1"/>
  <c r="D9" i="1"/>
  <c r="D8" i="1"/>
  <c r="D16" i="1" s="1"/>
  <c r="D6" i="1"/>
  <c r="D5" i="1"/>
  <c r="J38" i="1" l="1"/>
  <c r="I38" i="1"/>
  <c r="C30" i="2"/>
  <c r="C32" i="2" s="1"/>
  <c r="D30" i="2"/>
  <c r="D32" i="2" s="1"/>
  <c r="B34" i="2" s="1"/>
  <c r="D58" i="2" s="1"/>
  <c r="P37" i="1"/>
  <c r="D30" i="1"/>
  <c r="D31" i="1" s="1"/>
  <c r="L39" i="1"/>
  <c r="P39" i="1" s="1"/>
  <c r="R37" i="1"/>
  <c r="C39" i="1" s="1"/>
  <c r="D39" i="1" s="1"/>
  <c r="P38" i="1"/>
  <c r="D17" i="1"/>
  <c r="D11" i="1"/>
  <c r="C38" i="1" l="1"/>
  <c r="D38" i="1" s="1"/>
  <c r="C46" i="2"/>
  <c r="C51" i="2"/>
  <c r="K38" i="1"/>
  <c r="C37" i="1" s="1"/>
  <c r="D19" i="1"/>
  <c r="D20" i="1"/>
  <c r="C53" i="1" l="1"/>
  <c r="C55" i="1"/>
  <c r="C52" i="1"/>
  <c r="C54" i="1"/>
  <c r="C56" i="1"/>
  <c r="C41" i="1"/>
  <c r="D37" i="1"/>
  <c r="C43" i="1" l="1"/>
  <c r="D41" i="1"/>
  <c r="D43" i="1" s="1"/>
  <c r="B112" i="1" l="1"/>
  <c r="B120" i="1"/>
  <c r="B128" i="1"/>
  <c r="B88" i="1"/>
  <c r="B96" i="1"/>
  <c r="B104" i="1"/>
  <c r="B79" i="1"/>
  <c r="B133" i="1"/>
  <c r="B122" i="1"/>
  <c r="B106" i="1"/>
  <c r="B113" i="1"/>
  <c r="B121" i="1"/>
  <c r="B129" i="1"/>
  <c r="B89" i="1"/>
  <c r="B97" i="1"/>
  <c r="B105" i="1"/>
  <c r="B80" i="1"/>
  <c r="B114" i="1"/>
  <c r="B130" i="1"/>
  <c r="B81" i="1"/>
  <c r="B134" i="1"/>
  <c r="B115" i="1"/>
  <c r="B123" i="1"/>
  <c r="B131" i="1"/>
  <c r="B91" i="1"/>
  <c r="B99" i="1"/>
  <c r="B107" i="1"/>
  <c r="B82" i="1"/>
  <c r="B116" i="1"/>
  <c r="B124" i="1"/>
  <c r="B132" i="1"/>
  <c r="B92" i="1"/>
  <c r="B100" i="1"/>
  <c r="B75" i="1"/>
  <c r="B83" i="1"/>
  <c r="B118" i="1"/>
  <c r="B126" i="1"/>
  <c r="B86" i="1"/>
  <c r="B94" i="1"/>
  <c r="B102" i="1"/>
  <c r="B77" i="1"/>
  <c r="B74" i="1"/>
  <c r="B119" i="1"/>
  <c r="B127" i="1"/>
  <c r="B87" i="1"/>
  <c r="B95" i="1"/>
  <c r="B103" i="1"/>
  <c r="B78" i="1"/>
  <c r="B98" i="1"/>
  <c r="B108" i="1"/>
  <c r="B90" i="1"/>
  <c r="B109" i="1"/>
  <c r="B117" i="1"/>
  <c r="B125" i="1"/>
  <c r="B85" i="1"/>
  <c r="B93" i="1"/>
  <c r="B101" i="1"/>
  <c r="B76" i="1"/>
  <c r="B84" i="1"/>
  <c r="B110" i="1"/>
  <c r="B111" i="1"/>
  <c r="D45" i="1" l="1"/>
  <c r="B48" i="1" s="1"/>
  <c r="C65" i="1" s="1"/>
  <c r="D52" i="1" l="1"/>
  <c r="C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3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3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3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<sst xmlns="http://schemas.openxmlformats.org/spreadsheetml/2006/main" count="193" uniqueCount="134">
  <si>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</si>
  <si>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</si>
  <si>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</si>
  <si>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</si>
  <si>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</si>
  <si>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</si>
  <si>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</si>
  <si>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</si>
  <si>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</si>
  <si>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</si>
  <si>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</si>
  <si>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</si>
  <si>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</si>
  <si>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</si>
  <si>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</si>
  <si>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</si>
  <si>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</si>
  <si>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</si>
  <si>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</si>
  <si>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</si>
  <si>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</si>
  <si>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</si>
  <si>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</si>
  <si>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</si>
  <si>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</si>
  <si>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</si>
  <si>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</si>
  <si>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</si>
  <si>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</si>
  <si>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</si>
  <si>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</si>
  <si>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</si>
  <si>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</si>
  <si>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</si>
  <si>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EW Switch per unit</t>
  </si>
  <si>
    <t># of EW Switch</t>
  </si>
  <si>
    <t>Tunnel construction per track km</t>
  </si>
  <si>
    <t># tracks built</t>
  </si>
  <si>
    <t>One in each direction</t>
  </si>
  <si>
    <t xml:space="preserve">Interlocking Station </t>
  </si>
  <si>
    <t>Signals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</si>
  <si>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</si>
  <si>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</si>
  <si>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</si>
  <si>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</si>
  <si>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</si>
  <si>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</si>
  <si>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</si>
  <si>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</si>
  <si>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</si>
  <si>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</si>
  <si>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</si>
  <si>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</si>
  <si>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</si>
  <si>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</si>
  <si>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</si>
  <si>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</si>
  <si>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</si>
  <si>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</si>
  <si>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</si>
  <si>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</si>
  <si>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</si>
  <si>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</si>
  <si>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</si>
  <si>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</si>
  <si>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</si>
  <si>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</si>
  <si>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</si>
  <si>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</si>
  <si>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</si>
  <si>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</si>
  <si>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</si>
  <si>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</si>
  <si>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</si>
  <si>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</si>
  <si>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</si>
  <si>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</si>
  <si>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</si>
  <si>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</si>
  <si>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</si>
  <si>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</si>
  <si>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</si>
  <si>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</si>
  <si>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</si>
  <si>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</si>
  <si>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</si>
  <si>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</si>
  <si>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</si>
  <si>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</si>
  <si>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</si>
  <si>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</si>
  <si>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</si>
  <si>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Current adult population of Canton Zurich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</si>
  <si>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</si>
  <si>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</si>
  <si>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</si>
  <si>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</si>
  <si>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</si>
  <si>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</si>
  <si>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</si>
  <si>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</si>
  <si>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</si>
  <si>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</si>
  <si>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</si>
  <si>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</si>
  <si>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</si>
  <si>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</si>
  <si>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</si>
  <si>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</si>
  <si>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</si>
  <si>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</si>
  <si>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</si>
  <si>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</si>
  <si>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</si>
  <si>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</si>
  <si>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</si>
  <si>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</si>
  <si>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</si>
  <si>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</si>
  <si>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</si>
  <si>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</si>
  <si>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</si>
  <si>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</si>
  <si>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</si>
  <si>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Even if costs are twice what they are projected, still higher benefits than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</si>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</sst>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79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0" fontId="0" fillId="0" borderId="0" xfId="0" applyBorder="1"/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0" fontId="0" fillId="0" borderId="1" xfId="0" applyFont="1" applyBorder="1"/>
    <xf numFmtId="0" fontId="0" fillId="0" borderId="0" xfId="0" applyNumberFormat="1"/>
    <xf numFmtId="179" fontId="0" fillId="0" borderId="0" xfId="0" applyNumberFormat="1"/>
    <xf numFmtId="168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4"/>
  <sheetViews>
    <sheetView topLeftCell="D26" zoomScale="106" workbookViewId="0">
      <selection activeCell="Q36" sqref="Q36"/>
    </sheetView>
  </sheetViews>
  <sheetFormatPr baseColWidth="10" defaultColWidth="8.83203125" defaultRowHeight="15" x14ac:dyDescent="0.2"/>
  <cols>
    <col min="1" max="1" width="22" customWidth="1"/>
    <col min="2" max="2" width="24" customWidth="1"/>
    <col min="3" max="3" width="22.33203125" customWidth="1"/>
    <col min="4" max="4" width="47.5" customWidth="1"/>
    <col min="5" max="5" width="5.5" customWidth="1"/>
    <col min="6" max="6" width="18.33203125" customWidth="1"/>
    <col min="7" max="7" width="29.83203125" customWidth="1"/>
    <col min="8" max="8" width="17.5" customWidth="1"/>
    <col min="9" max="9" width="12.5" customWidth="1"/>
    <col min="10" max="11" width="17.5" customWidth="1"/>
    <col min="12" max="12" width="13" customWidth="1"/>
    <col min="15" max="15" width="11.83203125" customWidth="1"/>
    <col min="16" max="16" width="12.83203125" customWidth="1"/>
    <col min="17" max="17" width="11.33203125" customWidth="1"/>
    <col min="18" max="18" width="12.1640625" customWidth="1"/>
  </cols>
  <sheetData>
    <row r="1" spans="1:11" s="12" customFormat="1" x14ac:dyDescent="0.2">
      <c r="A1" s="12" t="s">
        <v>43</v>
      </c>
      <c r="B1" s="12" t="s">
        <v>44</v>
      </c>
    </row>
    <row r="3" spans="1:11" ht="16" x14ac:dyDescent="0.2">
      <c r="C3" s="1" t="s">
        <v>13</v>
      </c>
      <c r="D3" s="7">
        <v>8000</v>
      </c>
      <c r="G3" s="3" t="s">
        <v>32</v>
      </c>
    </row>
    <row r="4" spans="1:11" x14ac:dyDescent="0.2">
      <c r="C4" s="1"/>
      <c r="G4" s="3" t="s">
        <v>33</v>
      </c>
    </row>
    <row r="5" spans="1:11" ht="16" x14ac:dyDescent="0.2">
      <c r="A5" s="3" t="s">
        <v>22</v>
      </c>
      <c r="B5" s="3" t="s">
        <v>23</v>
      </c>
      <c r="C5" s="1" t="s">
        <v>16</v>
      </c>
      <c r="D5" s="2">
        <f>D3*H5*H6</f>
        <v>1040000000</v>
      </c>
      <c r="G5" t="s">
        <v>37</v>
      </c>
      <c r="H5" s="7">
        <v>2</v>
      </c>
      <c r="I5" s="8" t="s">
        <v>38</v>
      </c>
    </row>
    <row r="6" spans="1:11" ht="16" x14ac:dyDescent="0.2">
      <c r="C6" s="1" t="s">
        <v>17</v>
      </c>
      <c r="D6" s="2">
        <f>H8*H7</f>
        <v>1280000</v>
      </c>
      <c r="G6" t="s">
        <v>36</v>
      </c>
      <c r="H6" s="7">
        <v>65000</v>
      </c>
    </row>
    <row r="7" spans="1:11" ht="16" x14ac:dyDescent="0.2">
      <c r="C7" s="1" t="s">
        <v>18</v>
      </c>
      <c r="D7" s="2">
        <f>D3*H9*H5</f>
        <v>35200000</v>
      </c>
      <c r="G7" t="s">
        <v>34</v>
      </c>
      <c r="H7" s="7">
        <v>320000</v>
      </c>
    </row>
    <row r="8" spans="1:11" ht="16" x14ac:dyDescent="0.2">
      <c r="C8" s="1" t="s">
        <v>19</v>
      </c>
      <c r="D8" s="2">
        <f>H5*H10*D3</f>
        <v>7520000</v>
      </c>
      <c r="G8" t="s">
        <v>35</v>
      </c>
      <c r="H8" s="7">
        <v>4</v>
      </c>
    </row>
    <row r="9" spans="1:11" ht="16" x14ac:dyDescent="0.2">
      <c r="C9" s="1" t="s">
        <v>20</v>
      </c>
      <c r="D9" s="2">
        <f>H11</f>
        <v>4200000</v>
      </c>
      <c r="G9" t="s">
        <v>18</v>
      </c>
      <c r="H9" s="7">
        <v>2200</v>
      </c>
    </row>
    <row r="10" spans="1:11" ht="16" x14ac:dyDescent="0.2">
      <c r="C10" s="9" t="s">
        <v>21</v>
      </c>
      <c r="D10" s="10">
        <f>(D3*H12*H5)/2</f>
        <v>640000000</v>
      </c>
      <c r="G10" t="s">
        <v>19</v>
      </c>
      <c r="H10" s="7">
        <v>470</v>
      </c>
    </row>
    <row r="11" spans="1:11" ht="16" x14ac:dyDescent="0.2">
      <c r="C11" s="4" t="s">
        <v>24</v>
      </c>
      <c r="D11" s="5">
        <f>SUM(D5:D10)</f>
        <v>1728200000</v>
      </c>
      <c r="G11" t="s">
        <v>39</v>
      </c>
      <c r="H11" s="7">
        <v>4200000</v>
      </c>
    </row>
    <row r="12" spans="1:11" x14ac:dyDescent="0.2">
      <c r="G12" t="s">
        <v>40</v>
      </c>
      <c r="H12" s="7">
        <v>80000</v>
      </c>
    </row>
    <row r="13" spans="1:11" x14ac:dyDescent="0.2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2">
      <c r="C14" s="4"/>
      <c r="D14" s="5"/>
      <c r="J14" s="2"/>
      <c r="K14" s="2"/>
    </row>
    <row r="15" spans="1:11" ht="48" x14ac:dyDescent="0.2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41</v>
      </c>
      <c r="H15" s="7">
        <v>7.6999999999999999E-2</v>
      </c>
    </row>
    <row r="16" spans="1:11" ht="48" x14ac:dyDescent="0.2">
      <c r="C16" s="9" t="s">
        <v>28</v>
      </c>
      <c r="D16" s="10">
        <f>D8*((1+H13)^-10 + (1+H13)^-20 +(1+ H13)^-30 + (1+H13)^-40 + (1+H13)^-50 )</f>
        <v>19037518.158102311</v>
      </c>
      <c r="G16" t="s">
        <v>42</v>
      </c>
      <c r="H16" s="7">
        <v>0.05</v>
      </c>
    </row>
    <row r="17" spans="1:9" ht="16" x14ac:dyDescent="0.2">
      <c r="C17" s="4" t="s">
        <v>30</v>
      </c>
      <c r="D17" s="5">
        <f>D15+D16</f>
        <v>71710187.283656985</v>
      </c>
    </row>
    <row r="18" spans="1:9" x14ac:dyDescent="0.2">
      <c r="C18" s="4"/>
      <c r="D18" s="5"/>
      <c r="G18" s="3" t="s">
        <v>51</v>
      </c>
    </row>
    <row r="19" spans="1:9" ht="16" x14ac:dyDescent="0.2">
      <c r="B19" s="4" t="s">
        <v>27</v>
      </c>
      <c r="C19" s="4"/>
      <c r="D19" s="2">
        <f>H16*(D11+D17)</f>
        <v>89995509.36418286</v>
      </c>
      <c r="G19" t="s">
        <v>52</v>
      </c>
      <c r="H19" s="7">
        <v>15</v>
      </c>
      <c r="I19" s="8" t="s">
        <v>56</v>
      </c>
    </row>
    <row r="20" spans="1:9" x14ac:dyDescent="0.2">
      <c r="B20" s="3" t="s">
        <v>31</v>
      </c>
      <c r="C20" s="4"/>
      <c r="D20" s="2">
        <f>(D17+D11)*H15</f>
        <v>138593084.4208416</v>
      </c>
      <c r="G20" t="s">
        <v>53</v>
      </c>
      <c r="H20" s="7">
        <v>14</v>
      </c>
    </row>
    <row r="21" spans="1:9" ht="16" thickBot="1" x14ac:dyDescent="0.25">
      <c r="C21" s="4"/>
      <c r="D21" s="2"/>
      <c r="G21" t="s">
        <v>54</v>
      </c>
      <c r="H21" s="7">
        <v>3</v>
      </c>
    </row>
    <row r="22" spans="1:9" ht="16" thickBot="1" x14ac:dyDescent="0.25">
      <c r="B22" s="28" t="s">
        <v>81</v>
      </c>
      <c r="C22" s="29"/>
      <c r="D22" s="32">
        <f>D11+D17+D19+D20</f>
        <v>2028498781.0686817</v>
      </c>
      <c r="F22" s="6"/>
      <c r="G22" t="s">
        <v>55</v>
      </c>
      <c r="H22" s="7">
        <v>8</v>
      </c>
    </row>
    <row r="23" spans="1:9" x14ac:dyDescent="0.2">
      <c r="C23" s="1"/>
      <c r="D23" s="5"/>
      <c r="F23" s="6"/>
      <c r="G23" t="s">
        <v>57</v>
      </c>
      <c r="H23" s="7">
        <v>18</v>
      </c>
      <c r="I23" s="33" t="s">
        <v>85</v>
      </c>
    </row>
    <row r="24" spans="1:9" x14ac:dyDescent="0.2">
      <c r="C24" s="1"/>
      <c r="D24" s="5"/>
      <c r="F24" s="6"/>
      <c r="G24" t="s">
        <v>58</v>
      </c>
      <c r="H24" s="7">
        <v>33</v>
      </c>
    </row>
    <row r="25" spans="1:9" ht="16" x14ac:dyDescent="0.2">
      <c r="A25" s="8" t="s">
        <v>95</v>
      </c>
      <c r="C25" s="35" t="s">
        <v>47</v>
      </c>
      <c r="D25" s="14" t="s">
        <v>48</v>
      </c>
      <c r="F25" s="6"/>
      <c r="G25" t="s">
        <v>62</v>
      </c>
      <c r="H25">
        <f>H24*(1-0.4)</f>
        <v>19.8</v>
      </c>
    </row>
    <row r="26" spans="1:9" ht="32" x14ac:dyDescent="0.2">
      <c r="A26" s="4" t="s">
        <v>46</v>
      </c>
      <c r="B26" s="34" t="s">
        <v>3</v>
      </c>
      <c r="C26" s="13">
        <v>452</v>
      </c>
      <c r="D26" s="13">
        <v>412</v>
      </c>
      <c r="F26" s="6"/>
      <c r="G26" t="s">
        <v>59</v>
      </c>
      <c r="H26" s="7">
        <v>37</v>
      </c>
    </row>
    <row r="27" spans="1:9" x14ac:dyDescent="0.2">
      <c r="A27" s="3"/>
      <c r="B27" s="34" t="s">
        <v>45</v>
      </c>
      <c r="C27" s="13">
        <v>322</v>
      </c>
      <c r="D27" s="13">
        <v>444</v>
      </c>
      <c r="F27" s="6"/>
      <c r="G27" t="s">
        <v>60</v>
      </c>
      <c r="H27" s="7">
        <v>33</v>
      </c>
    </row>
    <row r="28" spans="1:9" x14ac:dyDescent="0.2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2">
      <c r="A29" s="3"/>
      <c r="B29" s="34" t="s">
        <v>5</v>
      </c>
      <c r="C29" s="13">
        <v>6</v>
      </c>
      <c r="D29" s="13">
        <v>8</v>
      </c>
      <c r="F29" s="6"/>
      <c r="G29" t="s">
        <v>74</v>
      </c>
      <c r="H29" s="24">
        <v>6.1500000000000001E-3</v>
      </c>
    </row>
    <row r="30" spans="1:9" x14ac:dyDescent="0.2">
      <c r="A30" s="3"/>
      <c r="B30" s="34" t="s">
        <v>49</v>
      </c>
      <c r="C30" s="1">
        <f>SUM(C26:C29)</f>
        <v>807</v>
      </c>
      <c r="D30" s="15">
        <f>SUM(D26:D29)</f>
        <v>899</v>
      </c>
      <c r="F30" s="6"/>
      <c r="G30" t="s">
        <v>92</v>
      </c>
      <c r="H30" s="46">
        <v>1240000</v>
      </c>
    </row>
    <row r="31" spans="1:9" ht="48" x14ac:dyDescent="0.2">
      <c r="A31" s="4" t="s">
        <v>61</v>
      </c>
      <c r="B31" t="s">
        <v>50</v>
      </c>
      <c r="C31" s="16">
        <f>C30*52</f>
        <v>41964</v>
      </c>
      <c r="D31" s="16">
        <f>D30*52</f>
        <v>46748</v>
      </c>
      <c r="F31" s="6"/>
      <c r="G31" t="s">
        <v>94</v>
      </c>
      <c r="H31" s="7">
        <v>1254</v>
      </c>
    </row>
    <row r="32" spans="1:9" x14ac:dyDescent="0.2">
      <c r="C32" s="1"/>
      <c r="D32" s="5"/>
      <c r="F32" s="6"/>
    </row>
    <row r="33" spans="1:18" x14ac:dyDescent="0.2">
      <c r="C33" s="1"/>
      <c r="D33" s="5"/>
      <c r="F33" s="6"/>
    </row>
    <row r="34" spans="1:18" x14ac:dyDescent="0.2">
      <c r="C34" s="1"/>
      <c r="D34" s="3"/>
      <c r="F34" s="6"/>
      <c r="H34" s="3" t="s">
        <v>73</v>
      </c>
      <c r="I34" t="s">
        <v>95</v>
      </c>
      <c r="K34" s="33"/>
    </row>
    <row r="35" spans="1:18" x14ac:dyDescent="0.2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68</v>
      </c>
      <c r="N35" s="17"/>
      <c r="O35" s="17"/>
      <c r="P35" s="17"/>
      <c r="Q35" s="22" t="s">
        <v>72</v>
      </c>
      <c r="R35" s="22"/>
    </row>
    <row r="36" spans="1:18" ht="64" x14ac:dyDescent="0.2">
      <c r="C36" s="35" t="s">
        <v>97</v>
      </c>
      <c r="D36" s="47" t="s">
        <v>96</v>
      </c>
      <c r="G36" t="s">
        <v>12</v>
      </c>
      <c r="H36" s="1" t="s">
        <v>7</v>
      </c>
      <c r="I36" s="1" t="s">
        <v>90</v>
      </c>
      <c r="J36" s="1" t="s">
        <v>91</v>
      </c>
      <c r="K36" s="4" t="s">
        <v>69</v>
      </c>
      <c r="L36" s="1" t="s">
        <v>67</v>
      </c>
      <c r="M36" s="1" t="s">
        <v>64</v>
      </c>
      <c r="N36" s="1" t="s">
        <v>66</v>
      </c>
      <c r="O36" s="1" t="s">
        <v>65</v>
      </c>
      <c r="P36" s="4" t="s">
        <v>9</v>
      </c>
      <c r="Q36" s="1" t="s">
        <v>70</v>
      </c>
      <c r="R36" s="1" t="s">
        <v>71</v>
      </c>
    </row>
    <row r="37" spans="1:18" ht="16" x14ac:dyDescent="0.2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1199797.894736842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16" x14ac:dyDescent="0.2">
      <c r="B38" s="48" t="s">
        <v>8</v>
      </c>
      <c r="C38" s="2">
        <f>SUM(P37:P40)</f>
        <v>15.748200000000001</v>
      </c>
      <c r="D38" s="26">
        <f t="shared" ref="D38:D41" si="0">C38*($H$30/$H$31)</f>
        <v>15572.382775119619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ht="16" x14ac:dyDescent="0.2">
      <c r="B39" s="34" t="s">
        <v>63</v>
      </c>
      <c r="C39" s="2">
        <f>SUM(R37:R40)</f>
        <v>12.899999999999999</v>
      </c>
      <c r="D39" s="26">
        <f t="shared" si="0"/>
        <v>12755.980861244017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ht="16" x14ac:dyDescent="0.2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ht="16" x14ac:dyDescent="0.2">
      <c r="B41" s="36" t="s">
        <v>49</v>
      </c>
      <c r="C41" s="2">
        <f>SUM(C37:C39)</f>
        <v>1241.9921999999999</v>
      </c>
      <c r="D41" s="26">
        <f t="shared" si="0"/>
        <v>1228126.2583732058</v>
      </c>
      <c r="F41" s="6"/>
    </row>
    <row r="42" spans="1:18" x14ac:dyDescent="0.2">
      <c r="D42" s="2"/>
    </row>
    <row r="43" spans="1:18" x14ac:dyDescent="0.2">
      <c r="A43" s="3" t="s">
        <v>89</v>
      </c>
      <c r="C43" s="2">
        <f>52*C41</f>
        <v>64583.594399999994</v>
      </c>
      <c r="D43" s="2">
        <f>52*D41</f>
        <v>63862565.4354067</v>
      </c>
    </row>
    <row r="44" spans="1:18" ht="16" thickBot="1" x14ac:dyDescent="0.25">
      <c r="D44" s="2"/>
    </row>
    <row r="45" spans="1:18" ht="16" thickBot="1" x14ac:dyDescent="0.25">
      <c r="B45" s="27" t="s">
        <v>75</v>
      </c>
      <c r="C45" s="30"/>
      <c r="D45" s="31">
        <f>SUM(B74:B134)</f>
        <v>2353376160.1742077</v>
      </c>
    </row>
    <row r="48" spans="1:18" ht="16" x14ac:dyDescent="0.2">
      <c r="A48" s="41" t="s">
        <v>15</v>
      </c>
      <c r="B48" s="42">
        <f>D45/D22</f>
        <v>1.1601565562363165</v>
      </c>
    </row>
    <row r="50" spans="1:6" x14ac:dyDescent="0.2">
      <c r="A50" s="3" t="s">
        <v>121</v>
      </c>
    </row>
    <row r="51" spans="1:6" x14ac:dyDescent="0.2">
      <c r="A51" t="s">
        <v>123</v>
      </c>
      <c r="B51" t="s">
        <v>122</v>
      </c>
      <c r="D51" t="s">
        <v>107</v>
      </c>
    </row>
    <row r="52" spans="1:6" x14ac:dyDescent="0.2">
      <c r="B52" s="50">
        <v>1</v>
      </c>
      <c r="C52" s="26">
        <f>B52*$D$22</f>
        <v>2028498781.0686817</v>
      </c>
      <c r="D52" s="52">
        <f>B48</f>
        <v>1.1601565562363165</v>
      </c>
    </row>
    <row r="53" spans="1:6" x14ac:dyDescent="0.2">
      <c r="B53" s="50">
        <v>0.5</v>
      </c>
      <c r="C53" s="26">
        <f t="shared" ref="C53:C56" si="2">B53*$D$22</f>
        <v>1014249390.5343409</v>
      </c>
      <c r="D53" s="52">
        <f t="dataTable" ref="D53:D56" dt2D="0" dtr="0" r1="D22" ca="1"/>
        <v>2.3203131124726331</v>
      </c>
    </row>
    <row r="54" spans="1:6" x14ac:dyDescent="0.2">
      <c r="B54" s="50">
        <v>0.75</v>
      </c>
      <c r="C54" s="26">
        <f t="shared" si="2"/>
        <v>1521374085.8015113</v>
      </c>
      <c r="D54" s="52">
        <v>3.0937508166301777</v>
      </c>
    </row>
    <row r="55" spans="1:6" x14ac:dyDescent="0.2">
      <c r="B55" s="50">
        <v>1.5</v>
      </c>
      <c r="C55" s="26">
        <f t="shared" si="2"/>
        <v>3042748171.6030226</v>
      </c>
      <c r="D55" s="52">
        <v>2.0625005444201188</v>
      </c>
    </row>
    <row r="56" spans="1:6" x14ac:dyDescent="0.2">
      <c r="B56" s="50">
        <v>2</v>
      </c>
      <c r="C56" s="26">
        <f t="shared" si="2"/>
        <v>4056997562.1373634</v>
      </c>
      <c r="D56" s="52">
        <v>1.0312502722100594</v>
      </c>
      <c r="F56" t="s">
        <v>124</v>
      </c>
    </row>
    <row r="57" spans="1:6" x14ac:dyDescent="0.2">
      <c r="A57" s="3" t="s">
        <v>125</v>
      </c>
      <c r="D57" s="54"/>
    </row>
    <row r="58" spans="1:6" x14ac:dyDescent="0.2">
      <c r="A58" s="8" t="s">
        <v>129</v>
      </c>
      <c r="B58" s="56">
        <v>2.5000000000000001E-2</v>
      </c>
      <c r="C58" s="52">
        <f>B48</f>
        <v>1.1601565562363165</v>
      </c>
    </row>
    <row r="59" spans="1:6" x14ac:dyDescent="0.2">
      <c r="A59" s="8" t="s">
        <v>126</v>
      </c>
      <c r="B59" s="56">
        <v>0.05</v>
      </c>
      <c r="C59" s="52">
        <f t="dataTable" ref="C59:C62" dt2D="0" dtr="0" r1="H13" ca="1"/>
        <v>0.71054629453694962</v>
      </c>
    </row>
    <row r="60" spans="1:6" x14ac:dyDescent="0.2">
      <c r="A60" s="8" t="s">
        <v>127</v>
      </c>
      <c r="B60" s="45">
        <v>7.0000000000000007E-2</v>
      </c>
      <c r="C60" s="52">
        <v>0.52847290598642149</v>
      </c>
    </row>
    <row r="61" spans="1:6" x14ac:dyDescent="0.2">
      <c r="A61" s="8" t="s">
        <v>128</v>
      </c>
      <c r="B61" s="56">
        <v>1.4999999999999999E-2</v>
      </c>
      <c r="C61" s="52">
        <v>1.4766559831584645</v>
      </c>
    </row>
    <row r="62" spans="1:6" x14ac:dyDescent="0.2">
      <c r="A62" s="8"/>
      <c r="B62" s="23"/>
      <c r="C62" s="52">
        <v>2.2330329535056106</v>
      </c>
    </row>
    <row r="64" spans="1:6" x14ac:dyDescent="0.2">
      <c r="A64" s="3" t="s">
        <v>132</v>
      </c>
      <c r="C64" t="s">
        <v>133</v>
      </c>
    </row>
    <row r="65" spans="1:3" x14ac:dyDescent="0.2">
      <c r="A65" s="8" t="s">
        <v>130</v>
      </c>
      <c r="B65">
        <f>H38</f>
        <v>14.4</v>
      </c>
      <c r="C65" s="55">
        <f>B48</f>
        <v>1.1601565562363165</v>
      </c>
    </row>
    <row r="66" spans="1:3" x14ac:dyDescent="0.2">
      <c r="A66" s="8" t="s">
        <v>131</v>
      </c>
      <c r="B66">
        <v>20.8</v>
      </c>
      <c r="C66" s="55">
        <f t="dataTable" ref="C66" dt2D="0" dtr="0" r1="H38" ca="1"/>
        <v>1.6638881136021531</v>
      </c>
    </row>
    <row r="70" spans="1:3" x14ac:dyDescent="0.2">
      <c r="A70" s="3" t="s">
        <v>76</v>
      </c>
    </row>
    <row r="71" spans="1:3" x14ac:dyDescent="0.2">
      <c r="A71" t="s">
        <v>77</v>
      </c>
      <c r="B71" s="23">
        <f>H29</f>
        <v>6.1500000000000001E-3</v>
      </c>
    </row>
    <row r="72" spans="1:3" x14ac:dyDescent="0.2">
      <c r="A72" t="s">
        <v>78</v>
      </c>
      <c r="B72" s="45">
        <f>H13</f>
        <v>2.5000000000000001E-2</v>
      </c>
    </row>
    <row r="73" spans="1:3" x14ac:dyDescent="0.2">
      <c r="A73" t="s">
        <v>79</v>
      </c>
      <c r="B73" s="25" t="s">
        <v>80</v>
      </c>
    </row>
    <row r="74" spans="1:3" x14ac:dyDescent="0.2">
      <c r="A74">
        <v>0</v>
      </c>
      <c r="B74" s="26">
        <f>$D$43*(1+$B$72)^-A74*(1+$B$71)^A74</f>
        <v>63862565.4354067</v>
      </c>
    </row>
    <row r="75" spans="1:3" x14ac:dyDescent="0.2">
      <c r="A75">
        <v>1</v>
      </c>
      <c r="B75" s="26">
        <f>$D$43*(1+$B$72)^-A75*(1+$B$71)^A75</f>
        <v>62688117.280814111</v>
      </c>
    </row>
    <row r="76" spans="1:3" x14ac:dyDescent="0.2">
      <c r="A76">
        <v>2</v>
      </c>
      <c r="B76" s="26">
        <f>$D$43*(1+$B$72)^-A76*(1+$B$71)^A76</f>
        <v>61535267.514235236</v>
      </c>
    </row>
    <row r="77" spans="1:3" x14ac:dyDescent="0.2">
      <c r="A77">
        <f>A76+1</f>
        <v>3</v>
      </c>
      <c r="B77" s="26">
        <f>$D$43*(1+$B$72)^-A77*(1+$B$71)^A77</f>
        <v>60403618.936046623</v>
      </c>
    </row>
    <row r="78" spans="1:3" x14ac:dyDescent="0.2">
      <c r="A78">
        <f t="shared" ref="A78:A134" si="3">A77+1</f>
        <v>4</v>
      </c>
      <c r="B78" s="26">
        <f>$D$43*(1+$B$72)^-A78*(1+$B$71)^A78</f>
        <v>59292781.651222758</v>
      </c>
    </row>
    <row r="79" spans="1:3" x14ac:dyDescent="0.2">
      <c r="A79">
        <f t="shared" si="3"/>
        <v>5</v>
      </c>
      <c r="B79" s="26">
        <f>$D$43*(1+$B$72)^-A79*(1+$B$71)^A79</f>
        <v>58202372.935002707</v>
      </c>
    </row>
    <row r="80" spans="1:3" x14ac:dyDescent="0.2">
      <c r="A80">
        <f t="shared" si="3"/>
        <v>6</v>
      </c>
      <c r="B80" s="26">
        <f>$D$43*(1+$B$72)^-A80*(1+$B$71)^A80</f>
        <v>57132017.101027302</v>
      </c>
    </row>
    <row r="81" spans="1:2" x14ac:dyDescent="0.2">
      <c r="A81">
        <f t="shared" si="3"/>
        <v>7</v>
      </c>
      <c r="B81" s="26">
        <f>$D$43*(1+$B$72)^-A81*(1+$B$71)^A81</f>
        <v>56081345.371901102</v>
      </c>
    </row>
    <row r="82" spans="1:2" x14ac:dyDescent="0.2">
      <c r="A82">
        <f t="shared" si="3"/>
        <v>8</v>
      </c>
      <c r="B82" s="26">
        <f>$D$43*(1+$B$72)^-A82*(1+$B$71)^A82</f>
        <v>55049995.752134927</v>
      </c>
    </row>
    <row r="83" spans="1:2" x14ac:dyDescent="0.2">
      <c r="A83">
        <f t="shared" si="3"/>
        <v>9</v>
      </c>
      <c r="B83" s="26">
        <f>$D$43*(1+$B$72)^-A83*(1+$B$71)^A83</f>
        <v>54037612.903424948</v>
      </c>
    </row>
    <row r="84" spans="1:2" x14ac:dyDescent="0.2">
      <c r="A84">
        <f t="shared" si="3"/>
        <v>10</v>
      </c>
      <c r="B84" s="26">
        <f>$D$43*(1+$B$72)^-A84*(1+$B$71)^A84</f>
        <v>53043848.02222538</v>
      </c>
    </row>
    <row r="85" spans="1:2" x14ac:dyDescent="0.2">
      <c r="A85">
        <f t="shared" si="3"/>
        <v>11</v>
      </c>
      <c r="B85" s="26">
        <f>$D$43*(1+$B$72)^-A85*(1+$B$71)^A85</f>
        <v>52068358.719572745</v>
      </c>
    </row>
    <row r="86" spans="1:2" x14ac:dyDescent="0.2">
      <c r="A86">
        <f t="shared" si="3"/>
        <v>12</v>
      </c>
      <c r="B86" s="26">
        <f>$D$43*(1+$B$72)^-A86*(1+$B$71)^A86</f>
        <v>51110808.903120138</v>
      </c>
    </row>
    <row r="87" spans="1:2" x14ac:dyDescent="0.2">
      <c r="A87">
        <f t="shared" si="3"/>
        <v>13</v>
      </c>
      <c r="B87" s="26">
        <f>$D$43*(1+$B$72)^-A87*(1+$B$71)^A87</f>
        <v>50170868.661340795</v>
      </c>
    </row>
    <row r="88" spans="1:2" x14ac:dyDescent="0.2">
      <c r="A88">
        <f t="shared" si="3"/>
        <v>14</v>
      </c>
      <c r="B88" s="26">
        <f>$D$43*(1+$B$72)^-A88*(1+$B$71)^A88</f>
        <v>49248214.149861522</v>
      </c>
    </row>
    <row r="89" spans="1:2" x14ac:dyDescent="0.2">
      <c r="A89">
        <f t="shared" si="3"/>
        <v>15</v>
      </c>
      <c r="B89" s="26">
        <f>$D$43*(1+$B$72)^-A89*(1+$B$71)^A89</f>
        <v>48342527.479886018</v>
      </c>
    </row>
    <row r="90" spans="1:2" x14ac:dyDescent="0.2">
      <c r="A90">
        <f>A89+1</f>
        <v>16</v>
      </c>
      <c r="B90" s="26">
        <f>$D$43*(1+$B$72)^-A90*(1+$B$71)^A90</f>
        <v>47453496.608670563</v>
      </c>
    </row>
    <row r="91" spans="1:2" x14ac:dyDescent="0.2">
      <c r="A91">
        <f t="shared" si="3"/>
        <v>17</v>
      </c>
      <c r="B91" s="26">
        <f>$D$43*(1+$B$72)^-A91*(1+$B$71)^A91</f>
        <v>46580815.232013553</v>
      </c>
    </row>
    <row r="92" spans="1:2" x14ac:dyDescent="0.2">
      <c r="A92">
        <f t="shared" si="3"/>
        <v>18</v>
      </c>
      <c r="B92" s="26">
        <f>$D$43*(1+$B$72)^-A92*(1+$B$71)^A92</f>
        <v>45724182.678722374</v>
      </c>
    </row>
    <row r="93" spans="1:2" x14ac:dyDescent="0.2">
      <c r="A93">
        <f t="shared" si="3"/>
        <v>19</v>
      </c>
      <c r="B93" s="26">
        <f>$D$43*(1+$B$72)^-A93*(1+$B$71)^A93</f>
        <v>44883303.807020999</v>
      </c>
    </row>
    <row r="94" spans="1:2" x14ac:dyDescent="0.2">
      <c r="A94">
        <f t="shared" si="3"/>
        <v>20</v>
      </c>
      <c r="B94" s="26">
        <f>$D$43*(1+$B$72)^-A94*(1+$B$71)^A94</f>
        <v>44057888.902862623</v>
      </c>
    </row>
    <row r="95" spans="1:2" x14ac:dyDescent="0.2">
      <c r="A95">
        <f t="shared" si="3"/>
        <v>21</v>
      </c>
      <c r="B95" s="26">
        <f>$D$43*(1+$B$72)^-A95*(1+$B$71)^A95</f>
        <v>43247653.580112427</v>
      </c>
    </row>
    <row r="96" spans="1:2" x14ac:dyDescent="0.2">
      <c r="A96">
        <f t="shared" si="3"/>
        <v>22</v>
      </c>
      <c r="B96" s="26">
        <f>$D$43*(1+$B$72)^-A96*(1+$B$71)^A96</f>
        <v>42452318.682565972</v>
      </c>
    </row>
    <row r="97" spans="1:2" x14ac:dyDescent="0.2">
      <c r="A97">
        <f t="shared" si="3"/>
        <v>23</v>
      </c>
      <c r="B97" s="26">
        <f>$D$43*(1+$B$72)^-A97*(1+$B$71)^A97</f>
        <v>41671610.187769525</v>
      </c>
    </row>
    <row r="98" spans="1:2" x14ac:dyDescent="0.2">
      <c r="A98">
        <f t="shared" si="3"/>
        <v>24</v>
      </c>
      <c r="B98" s="26">
        <f>$D$43*(1+$B$72)^-A98*(1+$B$71)^A98</f>
        <v>40905259.112609081</v>
      </c>
    </row>
    <row r="99" spans="1:2" x14ac:dyDescent="0.2">
      <c r="A99">
        <f t="shared" si="3"/>
        <v>25</v>
      </c>
      <c r="B99" s="26">
        <f>$D$43*(1+$B$72)^-A99*(1+$B$71)^A99</f>
        <v>40153001.42063573</v>
      </c>
    </row>
    <row r="100" spans="1:2" x14ac:dyDescent="0.2">
      <c r="A100">
        <f t="shared" si="3"/>
        <v>26</v>
      </c>
      <c r="B100" s="26">
        <f>$D$43*(1+$B$72)^-A100*(1+$B$71)^A100</f>
        <v>39414577.93109528</v>
      </c>
    </row>
    <row r="101" spans="1:2" x14ac:dyDescent="0.2">
      <c r="A101">
        <f t="shared" si="3"/>
        <v>27</v>
      </c>
      <c r="B101" s="26">
        <f>$D$43*(1+$B$72)^-A101*(1+$B$71)^A101</f>
        <v>38689734.229630738</v>
      </c>
    </row>
    <row r="102" spans="1:2" x14ac:dyDescent="0.2">
      <c r="A102">
        <f t="shared" si="3"/>
        <v>28</v>
      </c>
      <c r="B102" s="26">
        <f>$D$43*(1+$B$72)^-A102*(1+$B$71)^A102</f>
        <v>37978220.5806273</v>
      </c>
    </row>
    <row r="103" spans="1:2" x14ac:dyDescent="0.2">
      <c r="A103">
        <f>A102+1</f>
        <v>29</v>
      </c>
      <c r="B103" s="26">
        <f>$D$43*(1+$B$72)^-A103*(1+$B$71)^A103</f>
        <v>37279791.841168925</v>
      </c>
    </row>
    <row r="104" spans="1:2" x14ac:dyDescent="0.2">
      <c r="A104">
        <f t="shared" si="3"/>
        <v>30</v>
      </c>
      <c r="B104" s="26">
        <f>$D$43*(1+$B$72)^-A104*(1+$B$71)^A104</f>
        <v>36594207.37657769</v>
      </c>
    </row>
    <row r="105" spans="1:2" x14ac:dyDescent="0.2">
      <c r="A105">
        <f t="shared" si="3"/>
        <v>31</v>
      </c>
      <c r="B105" s="26">
        <f>$D$43*(1+$B$72)^-A105*(1+$B$71)^A105</f>
        <v>35921230.977505982</v>
      </c>
    </row>
    <row r="106" spans="1:2" x14ac:dyDescent="0.2">
      <c r="A106">
        <f t="shared" si="3"/>
        <v>32</v>
      </c>
      <c r="B106" s="26">
        <f>$D$43*(1+$B$72)^-A106*(1+$B$71)^A106</f>
        <v>35260630.778553814</v>
      </c>
    </row>
    <row r="107" spans="1:2" x14ac:dyDescent="0.2">
      <c r="A107">
        <f t="shared" si="3"/>
        <v>33</v>
      </c>
      <c r="B107" s="26">
        <f>$D$43*(1+$B$72)^-A107*(1+$B$71)^A107</f>
        <v>34612179.178382367</v>
      </c>
    </row>
    <row r="108" spans="1:2" x14ac:dyDescent="0.2">
      <c r="A108">
        <f t="shared" si="3"/>
        <v>34</v>
      </c>
      <c r="B108" s="26">
        <f>$D$43*(1+$B$72)^-A108*(1+$B$71)^A108</f>
        <v>33975652.761296995</v>
      </c>
    </row>
    <row r="109" spans="1:2" x14ac:dyDescent="0.2">
      <c r="A109">
        <f t="shared" si="3"/>
        <v>35</v>
      </c>
      <c r="B109" s="26">
        <f>$D$43*(1+$B$72)^-A109*(1+$B$71)^A109</f>
        <v>33350832.220272169</v>
      </c>
    </row>
    <row r="110" spans="1:2" x14ac:dyDescent="0.2">
      <c r="A110">
        <f t="shared" si="3"/>
        <v>36</v>
      </c>
      <c r="B110" s="26">
        <f>$D$43*(1+$B$72)^-A110*(1+$B$71)^A110</f>
        <v>32737502.281392049</v>
      </c>
    </row>
    <row r="111" spans="1:2" x14ac:dyDescent="0.2">
      <c r="A111">
        <f t="shared" si="3"/>
        <v>37</v>
      </c>
      <c r="B111" s="26">
        <f>$D$43*(1+$B$72)^-A111*(1+$B$71)^A111</f>
        <v>32135451.629680596</v>
      </c>
    </row>
    <row r="112" spans="1:2" x14ac:dyDescent="0.2">
      <c r="A112">
        <f t="shared" si="3"/>
        <v>38</v>
      </c>
      <c r="B112" s="26">
        <f>$D$43*(1+$B$72)^-A112*(1+$B$71)^A112</f>
        <v>31544472.83629575</v>
      </c>
    </row>
    <row r="113" spans="1:2" x14ac:dyDescent="0.2">
      <c r="A113">
        <f t="shared" si="3"/>
        <v>39</v>
      </c>
      <c r="B113" s="26">
        <f>$D$43*(1+$B$72)^-A113*(1+$B$71)^A113</f>
        <v>30964362.287062407</v>
      </c>
    </row>
    <row r="114" spans="1:2" x14ac:dyDescent="0.2">
      <c r="A114">
        <f t="shared" si="3"/>
        <v>40</v>
      </c>
      <c r="B114" s="26">
        <f>$D$43*(1+$B$72)^-A114*(1+$B$71)^A114</f>
        <v>30394920.112319853</v>
      </c>
    </row>
    <row r="115" spans="1:2" x14ac:dyDescent="0.2">
      <c r="A115">
        <f t="shared" si="3"/>
        <v>41</v>
      </c>
      <c r="B115" s="26">
        <f>$D$43*(1+$B$72)^-A115*(1+$B$71)^A115</f>
        <v>29835950.118059143</v>
      </c>
    </row>
    <row r="116" spans="1:2" x14ac:dyDescent="0.2">
      <c r="A116">
        <f>A115+1</f>
        <v>42</v>
      </c>
      <c r="B116" s="26">
        <f>$D$43*(1+$B$72)^-A116*(1+$B$71)^A116</f>
        <v>29287259.718327034</v>
      </c>
    </row>
    <row r="117" spans="1:2" x14ac:dyDescent="0.2">
      <c r="A117">
        <f t="shared" si="3"/>
        <v>43</v>
      </c>
      <c r="B117" s="26">
        <f>$D$43*(1+$B$72)^-A117*(1+$B$71)^A117</f>
        <v>28748659.868872918</v>
      </c>
    </row>
    <row r="118" spans="1:2" x14ac:dyDescent="0.2">
      <c r="A118">
        <f t="shared" si="3"/>
        <v>44</v>
      </c>
      <c r="B118" s="26">
        <f>$D$43*(1+$B$72)^-A118*(1+$B$71)^A118</f>
        <v>28219965.002016105</v>
      </c>
    </row>
    <row r="119" spans="1:2" x14ac:dyDescent="0.2">
      <c r="A119">
        <f>A118+1</f>
        <v>45</v>
      </c>
      <c r="B119" s="26">
        <f>$D$43*(1+$B$72)^-A119*(1+$B$71)^A119</f>
        <v>27700992.962710731</v>
      </c>
    </row>
    <row r="120" spans="1:2" x14ac:dyDescent="0.2">
      <c r="A120">
        <f t="shared" si="3"/>
        <v>46</v>
      </c>
      <c r="B120" s="26">
        <f>$D$43*(1+$B$72)^-A120*(1+$B$71)^A120</f>
        <v>27191564.945786737</v>
      </c>
    </row>
    <row r="121" spans="1:2" x14ac:dyDescent="0.2">
      <c r="A121">
        <f t="shared" si="3"/>
        <v>47</v>
      </c>
      <c r="B121" s="26">
        <f>$D$43*(1+$B$72)^-A121*(1+$B$71)^A121</f>
        <v>26691505.434344709</v>
      </c>
    </row>
    <row r="122" spans="1:2" x14ac:dyDescent="0.2">
      <c r="A122">
        <f t="shared" si="3"/>
        <v>48</v>
      </c>
      <c r="B122" s="26">
        <f>$D$43*(1+$B$72)^-A122*(1+$B$71)^A122</f>
        <v>26200642.139283836</v>
      </c>
    </row>
    <row r="123" spans="1:2" x14ac:dyDescent="0.2">
      <c r="A123">
        <f t="shared" si="3"/>
        <v>49</v>
      </c>
      <c r="B123" s="26">
        <f>$D$43*(1+$B$72)^-A123*(1+$B$71)^A123</f>
        <v>25718805.939941891</v>
      </c>
    </row>
    <row r="124" spans="1:2" x14ac:dyDescent="0.2">
      <c r="A124">
        <f t="shared" si="3"/>
        <v>50</v>
      </c>
      <c r="B124" s="26">
        <f>$D$43*(1+$B$72)^-A124*(1+$B$71)^A124</f>
        <v>25245830.825826861</v>
      </c>
    </row>
    <row r="125" spans="1:2" x14ac:dyDescent="0.2">
      <c r="A125">
        <f t="shared" si="3"/>
        <v>51</v>
      </c>
      <c r="B125" s="26">
        <f>$D$43*(1+$B$72)^-A125*(1+$B$71)^A125</f>
        <v>24781553.839420192</v>
      </c>
    </row>
    <row r="126" spans="1:2" x14ac:dyDescent="0.2">
      <c r="A126">
        <f t="shared" si="3"/>
        <v>52</v>
      </c>
      <c r="B126" s="26">
        <f>$D$43*(1+$B$72)^-A126*(1+$B$71)^A126</f>
        <v>24325815.020031836</v>
      </c>
    </row>
    <row r="127" spans="1:2" x14ac:dyDescent="0.2">
      <c r="A127">
        <f t="shared" si="3"/>
        <v>53</v>
      </c>
      <c r="B127" s="26">
        <f>$D$43*(1+$B$72)^-A127*(1+$B$71)^A127</f>
        <v>23878457.348687839</v>
      </c>
    </row>
    <row r="128" spans="1:2" x14ac:dyDescent="0.2">
      <c r="A128">
        <f t="shared" si="3"/>
        <v>54</v>
      </c>
      <c r="B128" s="26">
        <f>$D$43*(1+$B$72)^-A128*(1+$B$71)^A128</f>
        <v>23439326.694031488</v>
      </c>
    </row>
    <row r="129" spans="1:2" x14ac:dyDescent="0.2">
      <c r="A129">
        <f t="shared" si="3"/>
        <v>55</v>
      </c>
      <c r="B129" s="26">
        <f>$D$43*(1+$B$72)^-A129*(1+$B$71)^A129</f>
        <v>23008271.759219296</v>
      </c>
    </row>
    <row r="130" spans="1:2" x14ac:dyDescent="0.2">
      <c r="A130">
        <f t="shared" si="3"/>
        <v>56</v>
      </c>
      <c r="B130" s="26">
        <f>$D$43*(1+$B$72)^-A130*(1+$B$71)^A130</f>
        <v>22585144.029793661</v>
      </c>
    </row>
    <row r="131" spans="1:2" x14ac:dyDescent="0.2">
      <c r="A131">
        <f t="shared" si="3"/>
        <v>57</v>
      </c>
      <c r="B131" s="26">
        <f>$D$43*(1+$B$72)^-A131*(1+$B$71)^A131</f>
        <v>22169797.722514044</v>
      </c>
    </row>
    <row r="132" spans="1:2" x14ac:dyDescent="0.2">
      <c r="A132">
        <f>A131+1</f>
        <v>58</v>
      </c>
      <c r="B132" s="26">
        <f>$D$43*(1+$B$72)^-A132*(1+$B$71)^A132</f>
        <v>21762089.735129274</v>
      </c>
    </row>
    <row r="133" spans="1:2" x14ac:dyDescent="0.2">
      <c r="A133">
        <f t="shared" si="3"/>
        <v>59</v>
      </c>
      <c r="B133" s="26">
        <f>$D$43*(1+$B$72)^-A133*(1+$B$71)^A133</f>
        <v>21361879.59707348</v>
      </c>
    </row>
    <row r="134" spans="1:2" x14ac:dyDescent="0.2">
      <c r="A134">
        <f t="shared" si="3"/>
        <v>60</v>
      </c>
      <c r="B134" s="26">
        <f>$D$43*(1+$B$72)^-A134*(1+$B$71)^A134</f>
        <v>20969029.421068776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61"/>
  <sheetViews>
    <sheetView tabSelected="1" topLeftCell="A36" zoomScale="112" workbookViewId="0">
      <selection activeCell="C47" sqref="C47"/>
    </sheetView>
  </sheetViews>
  <sheetFormatPr baseColWidth="10" defaultColWidth="8.83203125" defaultRowHeight="15" x14ac:dyDescent="0.2"/>
  <cols>
    <col min="1" max="1" width="25" customWidth="1"/>
    <col min="2" max="2" width="30.1640625" customWidth="1"/>
    <col min="3" max="3" width="19.1640625" customWidth="1"/>
    <col min="4" max="5" width="19.5" customWidth="1"/>
    <col min="7" max="7" width="31.83203125" customWidth="1"/>
    <col min="8" max="8" width="14.6640625" customWidth="1"/>
    <col min="9" max="9" width="15.6640625" customWidth="1"/>
    <col min="10" max="10" width="12" customWidth="1"/>
    <col min="11" max="11" width="14.5" customWidth="1"/>
    <col min="12" max="12" width="12.83203125" customWidth="1"/>
    <col min="13" max="13" width="10.6640625" customWidth="1"/>
    <col min="14" max="14" width="11.6640625" customWidth="1"/>
    <col min="16" max="16" width="12.5" customWidth="1"/>
    <col min="18" max="18" width="12.83203125" customWidth="1"/>
  </cols>
  <sheetData>
    <row r="1" spans="1:14" s="12" customFormat="1" x14ac:dyDescent="0.2">
      <c r="A1" s="12" t="s">
        <v>82</v>
      </c>
      <c r="B1" s="12" t="s">
        <v>83</v>
      </c>
      <c r="G1" s="43" t="s">
        <v>105</v>
      </c>
    </row>
    <row r="2" spans="1:14" x14ac:dyDescent="0.2">
      <c r="B2" s="1"/>
      <c r="G2" t="s">
        <v>33</v>
      </c>
    </row>
    <row r="3" spans="1:14" x14ac:dyDescent="0.2">
      <c r="B3" s="1"/>
      <c r="G3" t="s">
        <v>103</v>
      </c>
      <c r="H3" s="51">
        <v>0.05</v>
      </c>
    </row>
    <row r="4" spans="1:14" x14ac:dyDescent="0.2">
      <c r="B4" s="1"/>
    </row>
    <row r="5" spans="1:14" ht="32" x14ac:dyDescent="0.2">
      <c r="A5" s="3" t="s">
        <v>1</v>
      </c>
      <c r="B5" s="1" t="s">
        <v>93</v>
      </c>
      <c r="C5" s="26">
        <f>10*D13*H17/H18</f>
        <v>20805103.668261562</v>
      </c>
      <c r="G5" t="s">
        <v>51</v>
      </c>
    </row>
    <row r="6" spans="1:14" ht="32" x14ac:dyDescent="0.2">
      <c r="A6" s="3"/>
      <c r="B6" s="1" t="s">
        <v>102</v>
      </c>
      <c r="C6" s="2">
        <f xml:space="preserve"> H3*C5</f>
        <v>1040255.1834130781</v>
      </c>
      <c r="G6" t="s">
        <v>52</v>
      </c>
      <c r="H6" s="7">
        <v>12</v>
      </c>
    </row>
    <row r="7" spans="1:14" ht="16" x14ac:dyDescent="0.2">
      <c r="A7" s="3"/>
      <c r="B7" s="4" t="s">
        <v>11</v>
      </c>
      <c r="C7" s="5">
        <f>C6</f>
        <v>1040255.1834130781</v>
      </c>
      <c r="G7" t="s">
        <v>53</v>
      </c>
      <c r="H7" s="7">
        <v>12</v>
      </c>
    </row>
    <row r="8" spans="1:14" x14ac:dyDescent="0.2">
      <c r="B8" s="1"/>
      <c r="G8" t="s">
        <v>54</v>
      </c>
      <c r="H8" s="7">
        <v>2</v>
      </c>
    </row>
    <row r="9" spans="1:14" x14ac:dyDescent="0.2">
      <c r="A9" s="3" t="s">
        <v>88</v>
      </c>
      <c r="B9" s="1"/>
      <c r="C9" s="40">
        <f>C7*52</f>
        <v>54093269.537480056</v>
      </c>
      <c r="G9" t="s">
        <v>55</v>
      </c>
      <c r="H9" s="7">
        <v>5</v>
      </c>
    </row>
    <row r="10" spans="1:14" x14ac:dyDescent="0.2">
      <c r="B10" s="1"/>
      <c r="G10" t="s">
        <v>57</v>
      </c>
      <c r="H10" s="7">
        <v>17</v>
      </c>
      <c r="I10" s="33" t="s">
        <v>86</v>
      </c>
    </row>
    <row r="11" spans="1:14" x14ac:dyDescent="0.2">
      <c r="B11" s="1"/>
      <c r="G11" t="s">
        <v>58</v>
      </c>
      <c r="H11" s="7">
        <v>27</v>
      </c>
    </row>
    <row r="12" spans="1:14" x14ac:dyDescent="0.2">
      <c r="A12" s="8" t="s">
        <v>101</v>
      </c>
      <c r="B12" s="1"/>
      <c r="C12" s="47" t="s">
        <v>47</v>
      </c>
      <c r="D12" s="47" t="s">
        <v>84</v>
      </c>
      <c r="E12" s="49"/>
      <c r="H12" s="13"/>
      <c r="I12" s="1"/>
      <c r="J12" s="1"/>
      <c r="K12" s="4"/>
      <c r="L12" s="1"/>
      <c r="M12" s="1"/>
      <c r="N12" s="4"/>
    </row>
    <row r="13" spans="1:14" ht="32" x14ac:dyDescent="0.2">
      <c r="A13" s="1" t="s">
        <v>46</v>
      </c>
      <c r="B13" s="36" t="s">
        <v>3</v>
      </c>
      <c r="C13" s="7">
        <v>3416</v>
      </c>
      <c r="D13" s="7">
        <v>2104</v>
      </c>
      <c r="E13">
        <f>D13-C13</f>
        <v>-1312</v>
      </c>
      <c r="G13" t="s">
        <v>59</v>
      </c>
      <c r="H13" s="13">
        <v>25</v>
      </c>
      <c r="I13" s="1"/>
      <c r="J13" s="1"/>
      <c r="K13" s="4"/>
      <c r="L13" s="1"/>
      <c r="M13" s="1"/>
      <c r="N13" s="4"/>
    </row>
    <row r="14" spans="1:14" ht="16" x14ac:dyDescent="0.2">
      <c r="B14" s="36" t="s">
        <v>45</v>
      </c>
      <c r="C14" s="7">
        <v>2742</v>
      </c>
      <c r="D14" s="7">
        <v>3089</v>
      </c>
      <c r="E14">
        <f t="shared" ref="E14:E16" si="0">D14-C14</f>
        <v>347</v>
      </c>
      <c r="G14" t="s">
        <v>60</v>
      </c>
      <c r="H14" s="13">
        <v>20</v>
      </c>
      <c r="I14" s="1"/>
      <c r="J14" s="1"/>
      <c r="K14" s="4"/>
      <c r="L14" s="1"/>
      <c r="M14" s="1"/>
      <c r="N14" s="4"/>
    </row>
    <row r="15" spans="1:14" ht="16" x14ac:dyDescent="0.2">
      <c r="B15" s="36" t="s">
        <v>6</v>
      </c>
      <c r="C15" s="7">
        <v>3119</v>
      </c>
      <c r="D15" s="7">
        <v>3514</v>
      </c>
      <c r="E15">
        <f t="shared" si="0"/>
        <v>395</v>
      </c>
      <c r="H15" s="1"/>
      <c r="I15" s="1"/>
      <c r="J15" s="1"/>
      <c r="K15" s="4"/>
      <c r="L15" s="1"/>
      <c r="M15" s="1"/>
      <c r="N15" s="4"/>
    </row>
    <row r="16" spans="1:14" ht="16" x14ac:dyDescent="0.2">
      <c r="B16" s="36" t="s">
        <v>5</v>
      </c>
      <c r="C16" s="7">
        <v>235</v>
      </c>
      <c r="D16" s="7">
        <v>265</v>
      </c>
      <c r="E16">
        <f t="shared" si="0"/>
        <v>30</v>
      </c>
      <c r="G16" t="s">
        <v>74</v>
      </c>
      <c r="H16" s="13">
        <v>6.1500000000000001E-3</v>
      </c>
      <c r="I16" s="1"/>
      <c r="J16" s="1"/>
      <c r="K16" s="4"/>
      <c r="L16" s="1"/>
      <c r="M16" s="1"/>
      <c r="N16" s="4"/>
    </row>
    <row r="17" spans="1:18" ht="16" x14ac:dyDescent="0.2">
      <c r="B17" s="36" t="s">
        <v>49</v>
      </c>
      <c r="C17">
        <f>SUM(C13:C16)</f>
        <v>9512</v>
      </c>
      <c r="D17">
        <f>SUM(D13:D16)</f>
        <v>8972</v>
      </c>
      <c r="G17" t="s">
        <v>92</v>
      </c>
      <c r="H17" s="7">
        <v>1240000</v>
      </c>
      <c r="I17" s="1"/>
      <c r="J17" s="1"/>
      <c r="K17" s="4"/>
      <c r="L17" s="1"/>
      <c r="M17" s="1"/>
      <c r="N17" s="4"/>
    </row>
    <row r="18" spans="1:18" x14ac:dyDescent="0.2">
      <c r="B18" s="1"/>
      <c r="G18" t="s">
        <v>100</v>
      </c>
      <c r="H18" s="1">
        <v>1254</v>
      </c>
      <c r="I18" s="1"/>
      <c r="J18" s="1"/>
      <c r="K18" s="4"/>
      <c r="L18" s="1"/>
      <c r="M18" s="1"/>
      <c r="N18" s="4"/>
    </row>
    <row r="19" spans="1:18" x14ac:dyDescent="0.2">
      <c r="G19" t="s">
        <v>106</v>
      </c>
      <c r="H19" s="13">
        <v>90</v>
      </c>
      <c r="I19" s="1"/>
      <c r="J19" s="1"/>
      <c r="K19" s="4"/>
      <c r="L19" s="1"/>
      <c r="M19" s="1"/>
      <c r="N19" s="4"/>
    </row>
    <row r="20" spans="1:18" x14ac:dyDescent="0.2">
      <c r="B20" s="1"/>
      <c r="G20" s="1"/>
      <c r="I20" s="1"/>
      <c r="K20" s="3"/>
      <c r="N20" s="3"/>
    </row>
    <row r="21" spans="1:18" x14ac:dyDescent="0.2">
      <c r="H21" s="3" t="s">
        <v>73</v>
      </c>
      <c r="I21" s="8" t="s">
        <v>101</v>
      </c>
      <c r="K21" s="33"/>
    </row>
    <row r="22" spans="1:18" x14ac:dyDescent="0.2">
      <c r="H22" s="21"/>
      <c r="I22" s="21" t="s">
        <v>10</v>
      </c>
      <c r="J22" s="21"/>
      <c r="K22" s="21"/>
      <c r="L22" s="17"/>
      <c r="M22" s="17" t="s">
        <v>68</v>
      </c>
      <c r="N22" s="17"/>
      <c r="O22" s="17"/>
      <c r="P22" s="17"/>
      <c r="Q22" s="22" t="s">
        <v>72</v>
      </c>
      <c r="R22" s="22"/>
    </row>
    <row r="23" spans="1:18" ht="64" x14ac:dyDescent="0.2">
      <c r="G23" t="s">
        <v>12</v>
      </c>
      <c r="H23" s="1" t="s">
        <v>7</v>
      </c>
      <c r="I23" s="1" t="s">
        <v>90</v>
      </c>
      <c r="J23" s="1" t="s">
        <v>91</v>
      </c>
      <c r="K23" s="4" t="s">
        <v>69</v>
      </c>
      <c r="L23" s="1" t="s">
        <v>67</v>
      </c>
      <c r="M23" s="1" t="s">
        <v>64</v>
      </c>
      <c r="N23" s="1" t="s">
        <v>66</v>
      </c>
      <c r="O23" s="1" t="s">
        <v>65</v>
      </c>
      <c r="P23" s="4" t="s">
        <v>9</v>
      </c>
      <c r="Q23" s="1" t="s">
        <v>70</v>
      </c>
      <c r="R23" s="1" t="s">
        <v>71</v>
      </c>
    </row>
    <row r="24" spans="1:18" ht="16" x14ac:dyDescent="0.2">
      <c r="B24" s="48"/>
      <c r="C24" s="47" t="s">
        <v>98</v>
      </c>
      <c r="D24" s="47" t="s">
        <v>99</v>
      </c>
      <c r="G24" s="1" t="s">
        <v>3</v>
      </c>
      <c r="H24" s="7">
        <v>23.3</v>
      </c>
      <c r="I24" s="15">
        <v>0</v>
      </c>
      <c r="J24" s="38">
        <v>0</v>
      </c>
      <c r="K24" s="39">
        <f>I24+J24</f>
        <v>0</v>
      </c>
      <c r="L24">
        <f>C13*H6-D13*H6</f>
        <v>15744</v>
      </c>
      <c r="M24" s="7">
        <v>192</v>
      </c>
      <c r="N24">
        <f>M24/1000000</f>
        <v>1.92E-4</v>
      </c>
      <c r="O24" s="7">
        <f>$H$19</f>
        <v>90</v>
      </c>
      <c r="P24" s="3">
        <f>L24*N24*O24</f>
        <v>272.05632000000003</v>
      </c>
      <c r="Q24" s="7">
        <f>0.012*0.59+0.031*0.41</f>
        <v>1.9789999999999999E-2</v>
      </c>
      <c r="R24">
        <f>L24*Q24</f>
        <v>311.57375999999999</v>
      </c>
    </row>
    <row r="25" spans="1:18" ht="16" x14ac:dyDescent="0.2">
      <c r="A25" s="3" t="s">
        <v>0</v>
      </c>
      <c r="B25" s="48" t="s">
        <v>14</v>
      </c>
      <c r="C25" s="26">
        <f>-10*D13</f>
        <v>-21040</v>
      </c>
      <c r="D25" s="26">
        <f>C25*$H$17/$H$18</f>
        <v>-20805103.668261562</v>
      </c>
      <c r="G25" s="1" t="s">
        <v>4</v>
      </c>
      <c r="H25" s="7">
        <v>14.4</v>
      </c>
      <c r="I25">
        <v>0</v>
      </c>
      <c r="J25" s="38">
        <f>0.5*(D14-C14)*(H11-H11)*H25</f>
        <v>0</v>
      </c>
      <c r="K25" s="39">
        <f>I25+J25</f>
        <v>0</v>
      </c>
      <c r="L25">
        <f>C14*H7-D14*H7</f>
        <v>-4164</v>
      </c>
      <c r="M25" s="7">
        <v>35</v>
      </c>
      <c r="N25">
        <f t="shared" ref="N25:N27" si="1">M25/1000000</f>
        <v>3.4999999999999997E-5</v>
      </c>
      <c r="O25" s="7">
        <f t="shared" ref="O25:O27" si="2">$H$19</f>
        <v>90</v>
      </c>
      <c r="P25" s="3">
        <f>L25*N25*O25</f>
        <v>-13.116599999999998</v>
      </c>
      <c r="Q25">
        <v>0</v>
      </c>
      <c r="R25" s="19"/>
    </row>
    <row r="26" spans="1:18" ht="16" x14ac:dyDescent="0.2">
      <c r="B26" s="48" t="s">
        <v>2</v>
      </c>
      <c r="C26" s="26">
        <f>10*D13</f>
        <v>21040</v>
      </c>
      <c r="D26" s="26">
        <f>C26*$H$17/$H$18</f>
        <v>20805103.668261562</v>
      </c>
      <c r="G26" s="1" t="s">
        <v>6</v>
      </c>
      <c r="H26" s="18"/>
      <c r="I26" s="19"/>
      <c r="J26" s="20"/>
      <c r="K26" s="20"/>
      <c r="L26">
        <f>D15*H8-C15*H8</f>
        <v>790</v>
      </c>
      <c r="M26" s="7">
        <v>0</v>
      </c>
      <c r="N26">
        <f t="shared" si="1"/>
        <v>0</v>
      </c>
      <c r="O26" s="7">
        <f t="shared" si="2"/>
        <v>90</v>
      </c>
      <c r="P26" s="3">
        <f>L26*N26*O26</f>
        <v>0</v>
      </c>
      <c r="Q26">
        <v>0</v>
      </c>
      <c r="R26" s="19"/>
    </row>
    <row r="27" spans="1:18" ht="16" x14ac:dyDescent="0.2">
      <c r="B27" s="48" t="s">
        <v>10</v>
      </c>
      <c r="C27" s="26">
        <f>SUM(K24:K27)</f>
        <v>0</v>
      </c>
      <c r="D27" s="26">
        <f>C27*$H$17/$H$18</f>
        <v>0</v>
      </c>
      <c r="G27" s="1" t="s">
        <v>5</v>
      </c>
      <c r="H27" s="18"/>
      <c r="I27" s="19"/>
      <c r="J27" s="19"/>
      <c r="K27" s="19"/>
      <c r="L27">
        <f>D16*H9-C16*H9</f>
        <v>150</v>
      </c>
      <c r="M27" s="7">
        <v>0</v>
      </c>
      <c r="N27">
        <f t="shared" si="1"/>
        <v>0</v>
      </c>
      <c r="O27" s="7">
        <f t="shared" si="2"/>
        <v>90</v>
      </c>
      <c r="P27" s="3">
        <f>L27*M27*O27</f>
        <v>0</v>
      </c>
      <c r="Q27">
        <v>0</v>
      </c>
      <c r="R27" s="19"/>
    </row>
    <row r="28" spans="1:18" ht="16" x14ac:dyDescent="0.2">
      <c r="B28" s="48" t="s">
        <v>8</v>
      </c>
      <c r="C28" s="26">
        <f>SUM(P24:P27)</f>
        <v>258.93972000000002</v>
      </c>
      <c r="D28" s="26">
        <f>C28*$H$17/$H$18</f>
        <v>256048.84593301435</v>
      </c>
      <c r="G28" s="1"/>
      <c r="H28" s="18"/>
      <c r="I28" s="19"/>
      <c r="J28" s="19"/>
      <c r="K28" s="19"/>
      <c r="M28" s="7"/>
      <c r="O28" s="7"/>
      <c r="P28" s="3"/>
      <c r="R28" s="19"/>
    </row>
    <row r="29" spans="1:18" ht="16" x14ac:dyDescent="0.2">
      <c r="B29" s="48" t="s">
        <v>87</v>
      </c>
      <c r="C29" s="26">
        <f>SUM(R24:R27)</f>
        <v>311.57375999999999</v>
      </c>
      <c r="D29" s="26">
        <f>C29*$H$17/$H$18</f>
        <v>308095.26507177029</v>
      </c>
    </row>
    <row r="30" spans="1:18" ht="16" x14ac:dyDescent="0.2">
      <c r="B30" s="36" t="s">
        <v>11</v>
      </c>
      <c r="C30" s="40">
        <f>SUM(C25:C29)</f>
        <v>570.51348000000007</v>
      </c>
      <c r="D30" s="40">
        <f>SUM(D25:D29)</f>
        <v>564144.1110047847</v>
      </c>
    </row>
    <row r="31" spans="1:18" x14ac:dyDescent="0.2">
      <c r="B31" s="4"/>
      <c r="C31" s="5"/>
    </row>
    <row r="32" spans="1:18" ht="16" x14ac:dyDescent="0.2">
      <c r="A32" s="3" t="s">
        <v>89</v>
      </c>
      <c r="B32" s="4" t="s">
        <v>11</v>
      </c>
      <c r="C32" s="40">
        <f>C30*52</f>
        <v>29666.700960000002</v>
      </c>
      <c r="D32" s="40">
        <f>D30*52</f>
        <v>29335493.772248805</v>
      </c>
    </row>
    <row r="33" spans="1:4" x14ac:dyDescent="0.2">
      <c r="B33" s="1"/>
    </row>
    <row r="34" spans="1:4" x14ac:dyDescent="0.2">
      <c r="A34" s="43" t="s">
        <v>15</v>
      </c>
      <c r="B34" s="44">
        <f>D32/C9</f>
        <v>0.54231319391634991</v>
      </c>
      <c r="C34" s="8" t="s">
        <v>113</v>
      </c>
    </row>
    <row r="35" spans="1:4" x14ac:dyDescent="0.2">
      <c r="B35" s="1"/>
    </row>
    <row r="36" spans="1:4" x14ac:dyDescent="0.2">
      <c r="B36" s="1"/>
    </row>
    <row r="37" spans="1:4" x14ac:dyDescent="0.2">
      <c r="B37" s="1"/>
    </row>
    <row r="41" spans="1:4" x14ac:dyDescent="0.2">
      <c r="A41" s="3" t="s">
        <v>116</v>
      </c>
    </row>
    <row r="45" spans="1:4" x14ac:dyDescent="0.2">
      <c r="A45" s="3" t="s">
        <v>106</v>
      </c>
      <c r="B45" s="53" t="s">
        <v>104</v>
      </c>
      <c r="C45" s="53" t="s">
        <v>107</v>
      </c>
    </row>
    <row r="46" spans="1:4" x14ac:dyDescent="0.2">
      <c r="B46">
        <v>90</v>
      </c>
      <c r="C46" s="52">
        <f>B34</f>
        <v>0.54231319391634991</v>
      </c>
      <c r="D46" t="s">
        <v>109</v>
      </c>
    </row>
    <row r="47" spans="1:4" x14ac:dyDescent="0.2">
      <c r="B47">
        <v>50</v>
      </c>
      <c r="C47">
        <f t="dataTable" ref="C47:C48" dt2D="0" dtr="0" r1="H19" ca="1"/>
        <v>0.43291745247148294</v>
      </c>
      <c r="D47" t="s">
        <v>108</v>
      </c>
    </row>
    <row r="48" spans="1:4" x14ac:dyDescent="0.2">
      <c r="B48">
        <v>185</v>
      </c>
      <c r="C48">
        <v>0.80212807984790879</v>
      </c>
      <c r="D48" t="s">
        <v>110</v>
      </c>
    </row>
    <row r="50" spans="1:7" x14ac:dyDescent="0.2">
      <c r="A50" s="3" t="s">
        <v>111</v>
      </c>
      <c r="B50" s="37" t="s">
        <v>112</v>
      </c>
      <c r="C50" s="37" t="s">
        <v>107</v>
      </c>
    </row>
    <row r="51" spans="1:7" x14ac:dyDescent="0.2">
      <c r="B51" s="50">
        <v>0.05</v>
      </c>
      <c r="C51" s="52">
        <f>B34</f>
        <v>0.54231319391634991</v>
      </c>
    </row>
    <row r="52" spans="1:7" x14ac:dyDescent="0.2">
      <c r="B52" s="50">
        <v>0.01</v>
      </c>
      <c r="C52">
        <f t="dataTable" ref="C52:C55" dt2D="0" dtr="0" r1="H3" ca="1"/>
        <v>2.7115659695817498</v>
      </c>
    </row>
    <row r="53" spans="1:7" x14ac:dyDescent="0.2">
      <c r="B53" s="50">
        <v>0.03</v>
      </c>
      <c r="C53">
        <v>0.90385532319391648</v>
      </c>
    </row>
    <row r="54" spans="1:7" x14ac:dyDescent="0.2">
      <c r="B54" s="50">
        <v>7.0000000000000007E-2</v>
      </c>
      <c r="C54">
        <v>0.38736656708310707</v>
      </c>
    </row>
    <row r="55" spans="1:7" x14ac:dyDescent="0.2">
      <c r="B55" s="50">
        <v>0.1</v>
      </c>
      <c r="C55">
        <v>0.27115659695817496</v>
      </c>
    </row>
    <row r="57" spans="1:7" x14ac:dyDescent="0.2">
      <c r="A57" t="s">
        <v>114</v>
      </c>
      <c r="E57" s="3" t="s">
        <v>106</v>
      </c>
    </row>
    <row r="58" spans="1:7" x14ac:dyDescent="0.2">
      <c r="D58" s="52">
        <f>B34</f>
        <v>0.54231319391634991</v>
      </c>
      <c r="E58" s="7">
        <v>90</v>
      </c>
      <c r="F58" s="7">
        <v>0</v>
      </c>
      <c r="G58" s="7">
        <v>180</v>
      </c>
    </row>
    <row r="59" spans="1:7" x14ac:dyDescent="0.2">
      <c r="A59" t="s">
        <v>120</v>
      </c>
      <c r="B59" s="3" t="s">
        <v>115</v>
      </c>
      <c r="C59" s="8" t="s">
        <v>119</v>
      </c>
      <c r="D59" s="7">
        <v>1.9789999999999999E-2</v>
      </c>
      <c r="E59">
        <f t="dataTable" ref="E59:G61" dt2D="1" dtr="1" r1="H19" r2="Q24"/>
        <v>0.54231319391634991</v>
      </c>
      <c r="F59">
        <v>0.29617277566539923</v>
      </c>
      <c r="G59">
        <v>0.78845361216730037</v>
      </c>
    </row>
    <row r="60" spans="1:7" x14ac:dyDescent="0.2">
      <c r="C60" s="8" t="s">
        <v>117</v>
      </c>
      <c r="D60" s="7">
        <v>1.2E-2</v>
      </c>
      <c r="E60">
        <v>0.42572977186311795</v>
      </c>
      <c r="F60">
        <v>0.17958935361216735</v>
      </c>
      <c r="G60">
        <v>0.67187019011406846</v>
      </c>
    </row>
    <row r="61" spans="1:7" x14ac:dyDescent="0.2">
      <c r="B61" s="52"/>
      <c r="C61" s="8" t="s">
        <v>118</v>
      </c>
      <c r="D61" s="7">
        <v>3.1E-2</v>
      </c>
      <c r="E61">
        <v>0.71007958174904962</v>
      </c>
      <c r="F61">
        <v>0.46393916349809894</v>
      </c>
      <c r="G61">
        <v>0.95622000000000018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Heinonen  Sanelma</cp:lastModifiedBy>
  <dcterms:created xsi:type="dcterms:W3CDTF">2022-12-09T07:28:57Z</dcterms:created>
  <dcterms:modified xsi:type="dcterms:W3CDTF">2022-12-14T15:38:20Z</dcterms:modified>
</cp:coreProperties>
</file>