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lmaheinonen/Downloads/"/>
    </mc:Choice>
  </mc:AlternateContent>
  <xr:revisionPtr revIDLastSave="0" documentId="13_ncr:1_{4BF90EC0-BD04-1344-9085-629596AE9AD2}" xr6:coauthVersionLast="47" xr6:coauthVersionMax="47" xr10:uidLastSave="{00000000-0000-0000-0000-000000000000}"/>
  <bookViews>
    <workbookView xWindow="0" yWindow="500" windowWidth="28800" windowHeight="16480" activeTab="1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8" i="2"/>
  <c r="D27" i="2"/>
  <c r="C27" i="2"/>
  <c r="C8" i="2"/>
  <c r="C7" i="2"/>
  <c r="B68" i="2"/>
  <c r="B67" i="2"/>
  <c r="A73" i="2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72" i="2"/>
  <c r="Q26" i="2"/>
  <c r="B65" i="1"/>
  <c r="J27" i="2"/>
  <c r="E16" i="2"/>
  <c r="E17" i="2"/>
  <c r="E18" i="2"/>
  <c r="E15" i="2"/>
  <c r="O27" i="2"/>
  <c r="O28" i="2"/>
  <c r="O29" i="2"/>
  <c r="O26" i="2"/>
  <c r="K27" i="2"/>
  <c r="L26" i="2"/>
  <c r="C28" i="2"/>
  <c r="D40" i="1"/>
  <c r="L27" i="2"/>
  <c r="K26" i="2"/>
  <c r="B72" i="1"/>
  <c r="K37" i="1"/>
  <c r="L29" i="2"/>
  <c r="L28" i="2"/>
  <c r="N29" i="2"/>
  <c r="N28" i="2"/>
  <c r="N27" i="2"/>
  <c r="N26" i="2"/>
  <c r="D19" i="2"/>
  <c r="C19" i="2"/>
  <c r="P29" i="2" l="1"/>
  <c r="C9" i="2"/>
  <c r="C11" i="2" s="1"/>
  <c r="C29" i="2"/>
  <c r="R26" i="2"/>
  <c r="C31" i="2" s="1"/>
  <c r="D31" i="2" s="1"/>
  <c r="P27" i="2"/>
  <c r="P28" i="2"/>
  <c r="P26" i="2"/>
  <c r="C125" i="2" l="1"/>
  <c r="C127" i="2"/>
  <c r="C128" i="2"/>
  <c r="C130" i="2"/>
  <c r="C126" i="2"/>
  <c r="C129" i="2"/>
  <c r="C131" i="2"/>
  <c r="C107" i="2"/>
  <c r="C115" i="2"/>
  <c r="C123" i="2"/>
  <c r="C116" i="2"/>
  <c r="C124" i="2"/>
  <c r="C109" i="2"/>
  <c r="C117" i="2"/>
  <c r="C110" i="2"/>
  <c r="C108" i="2"/>
  <c r="C118" i="2"/>
  <c r="C111" i="2"/>
  <c r="C119" i="2"/>
  <c r="C112" i="2"/>
  <c r="C120" i="2"/>
  <c r="C113" i="2"/>
  <c r="C121" i="2"/>
  <c r="C114" i="2"/>
  <c r="C122" i="2"/>
  <c r="C85" i="2"/>
  <c r="C93" i="2"/>
  <c r="C101" i="2"/>
  <c r="C102" i="2"/>
  <c r="C87" i="2"/>
  <c r="C95" i="2"/>
  <c r="C103" i="2"/>
  <c r="C86" i="2"/>
  <c r="C94" i="2"/>
  <c r="C88" i="2"/>
  <c r="C96" i="2"/>
  <c r="C104" i="2"/>
  <c r="C89" i="2"/>
  <c r="C97" i="2"/>
  <c r="C105" i="2"/>
  <c r="C92" i="2"/>
  <c r="C90" i="2"/>
  <c r="C98" i="2"/>
  <c r="C106" i="2"/>
  <c r="C91" i="2"/>
  <c r="C99" i="2"/>
  <c r="C100" i="2"/>
  <c r="C71" i="2"/>
  <c r="C76" i="2"/>
  <c r="C84" i="2"/>
  <c r="C77" i="2"/>
  <c r="C78" i="2"/>
  <c r="C79" i="2"/>
  <c r="C80" i="2"/>
  <c r="C81" i="2"/>
  <c r="C82" i="2"/>
  <c r="C83" i="2"/>
  <c r="C72" i="2"/>
  <c r="C74" i="2"/>
  <c r="C75" i="2"/>
  <c r="C73" i="2"/>
  <c r="C30" i="2"/>
  <c r="L38" i="1"/>
  <c r="L3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B71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10" i="1"/>
  <c r="D9" i="1"/>
  <c r="D8" i="1"/>
  <c r="D16" i="1" s="1"/>
  <c r="D6" i="1"/>
  <c r="D5" i="1"/>
  <c r="B36" i="2" l="1"/>
  <c r="D30" i="2"/>
  <c r="D32" i="2" s="1"/>
  <c r="J38" i="1"/>
  <c r="I38" i="1"/>
  <c r="C32" i="2"/>
  <c r="C34" i="2" s="1"/>
  <c r="P37" i="1"/>
  <c r="D30" i="1"/>
  <c r="D31" i="1" s="1"/>
  <c r="L39" i="1"/>
  <c r="P39" i="1" s="1"/>
  <c r="R37" i="1"/>
  <c r="C39" i="1" s="1"/>
  <c r="D39" i="1" s="1"/>
  <c r="P38" i="1"/>
  <c r="D17" i="1"/>
  <c r="D11" i="1"/>
  <c r="D34" i="2" l="1"/>
  <c r="B131" i="2" s="1"/>
  <c r="C38" i="1"/>
  <c r="D38" i="1" s="1"/>
  <c r="K38" i="1"/>
  <c r="C37" i="1" s="1"/>
  <c r="D37" i="1" s="1"/>
  <c r="D19" i="1"/>
  <c r="D20" i="1"/>
  <c r="B123" i="2" l="1"/>
  <c r="B124" i="2"/>
  <c r="B125" i="2"/>
  <c r="B126" i="2"/>
  <c r="B128" i="2"/>
  <c r="B130" i="2"/>
  <c r="B127" i="2"/>
  <c r="B129" i="2"/>
  <c r="B100" i="2"/>
  <c r="B108" i="2"/>
  <c r="B116" i="2"/>
  <c r="B101" i="2"/>
  <c r="B109" i="2"/>
  <c r="B117" i="2"/>
  <c r="B102" i="2"/>
  <c r="B110" i="2"/>
  <c r="B118" i="2"/>
  <c r="B103" i="2"/>
  <c r="B111" i="2"/>
  <c r="B119" i="2"/>
  <c r="B104" i="2"/>
  <c r="B112" i="2"/>
  <c r="B105" i="2"/>
  <c r="B113" i="2"/>
  <c r="B120" i="2"/>
  <c r="B121" i="2"/>
  <c r="B106" i="2"/>
  <c r="B114" i="2"/>
  <c r="B122" i="2"/>
  <c r="B107" i="2"/>
  <c r="B115" i="2"/>
  <c r="B84" i="2"/>
  <c r="B92" i="2"/>
  <c r="B85" i="2"/>
  <c r="B93" i="2"/>
  <c r="B86" i="2"/>
  <c r="B94" i="2"/>
  <c r="B87" i="2"/>
  <c r="B95" i="2"/>
  <c r="B88" i="2"/>
  <c r="B96" i="2"/>
  <c r="B97" i="2"/>
  <c r="B90" i="2"/>
  <c r="B98" i="2"/>
  <c r="B91" i="2"/>
  <c r="B99" i="2"/>
  <c r="B89" i="2"/>
  <c r="B71" i="2"/>
  <c r="B72" i="2"/>
  <c r="B80" i="2"/>
  <c r="B74" i="2"/>
  <c r="B75" i="2"/>
  <c r="B73" i="2"/>
  <c r="B81" i="2"/>
  <c r="B82" i="2"/>
  <c r="B83" i="2"/>
  <c r="B76" i="2"/>
  <c r="B77" i="2"/>
  <c r="B78" i="2"/>
  <c r="B79" i="2"/>
  <c r="D22" i="1"/>
  <c r="C41" i="1"/>
  <c r="B37" i="2" l="1"/>
  <c r="B40" i="2" s="1"/>
  <c r="D60" i="2" s="1"/>
  <c r="C43" i="1"/>
  <c r="D41" i="1"/>
  <c r="D43" i="1" s="1"/>
  <c r="B74" i="1" s="1"/>
  <c r="C53" i="2" l="1"/>
  <c r="C48" i="2"/>
  <c r="B112" i="1"/>
  <c r="B120" i="1"/>
  <c r="B128" i="1"/>
  <c r="B88" i="1"/>
  <c r="B96" i="1"/>
  <c r="B104" i="1"/>
  <c r="B79" i="1"/>
  <c r="B133" i="1"/>
  <c r="B122" i="1"/>
  <c r="B106" i="1"/>
  <c r="B113" i="1"/>
  <c r="B121" i="1"/>
  <c r="B129" i="1"/>
  <c r="B89" i="1"/>
  <c r="B97" i="1"/>
  <c r="B105" i="1"/>
  <c r="B80" i="1"/>
  <c r="B114" i="1"/>
  <c r="B130" i="1"/>
  <c r="B81" i="1"/>
  <c r="B134" i="1"/>
  <c r="B115" i="1"/>
  <c r="B123" i="1"/>
  <c r="B131" i="1"/>
  <c r="B91" i="1"/>
  <c r="B99" i="1"/>
  <c r="B107" i="1"/>
  <c r="B82" i="1"/>
  <c r="B116" i="1"/>
  <c r="B124" i="1"/>
  <c r="B132" i="1"/>
  <c r="B92" i="1"/>
  <c r="B100" i="1"/>
  <c r="B75" i="1"/>
  <c r="B83" i="1"/>
  <c r="B118" i="1"/>
  <c r="B126" i="1"/>
  <c r="B86" i="1"/>
  <c r="B94" i="1"/>
  <c r="B102" i="1"/>
  <c r="B77" i="1"/>
  <c r="B119" i="1"/>
  <c r="B127" i="1"/>
  <c r="B87" i="1"/>
  <c r="B95" i="1"/>
  <c r="B103" i="1"/>
  <c r="B78" i="1"/>
  <c r="B98" i="1"/>
  <c r="B108" i="1"/>
  <c r="B90" i="1"/>
  <c r="B109" i="1"/>
  <c r="B117" i="1"/>
  <c r="B125" i="1"/>
  <c r="B85" i="1"/>
  <c r="B93" i="1"/>
  <c r="B101" i="1"/>
  <c r="B76" i="1"/>
  <c r="B84" i="1"/>
  <c r="B110" i="1"/>
  <c r="B111" i="1"/>
  <c r="D45" i="1" l="1"/>
  <c r="B48" i="1" s="1"/>
  <c r="C65" i="1" l="1"/>
  <c r="D52" i="1"/>
  <c r="C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5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5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5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<sst xmlns="http://schemas.openxmlformats.org/spreadsheetml/2006/main" count="201" uniqueCount="138">
  <si>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</si>
  <si>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</si>
  <si>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</si>
  <si>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</si>
  <si>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</si>
  <si>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</si>
  <si>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</si>
  <si>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</si>
  <si>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</si>
  <si>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</si>
  <si>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</si>
  <si>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</si>
  <si>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</si>
  <si>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</si>
  <si>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</si>
  <si>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</si>
  <si>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</si>
  <si>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</si>
  <si>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</si>
  <si>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</si>
  <si>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</si>
  <si>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</si>
  <si>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</si>
  <si>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</si>
  <si>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</si>
  <si>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</si>
  <si>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</si>
  <si>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</si>
  <si>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</si>
  <si>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</si>
  <si>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</si>
  <si>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</si>
  <si>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</si>
  <si>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</si>
  <si>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EW Switch per unit</t>
  </si>
  <si>
    <t># of EW Switch</t>
  </si>
  <si>
    <t>Tunnel construction per track km</t>
  </si>
  <si>
    <t># tracks built</t>
  </si>
  <si>
    <t>One in each direction</t>
  </si>
  <si>
    <t xml:space="preserve">Interlocking Station </t>
  </si>
  <si>
    <t>Signals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</si>
  <si>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</si>
  <si>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</si>
  <si>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</si>
  <si>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</si>
  <si>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</si>
  <si>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</si>
  <si>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</si>
  <si>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</si>
  <si>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</si>
  <si>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</si>
  <si>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</si>
  <si>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</si>
  <si>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</si>
  <si>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</si>
  <si>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</si>
  <si>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</si>
  <si>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</si>
  <si>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</si>
  <si>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</si>
  <si>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</si>
  <si>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</si>
  <si>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</si>
  <si>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</si>
  <si>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</si>
  <si>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</si>
  <si>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</si>
  <si>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</si>
  <si>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</si>
  <si>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</si>
  <si>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</si>
  <si>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</si>
  <si>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</si>
  <si>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</si>
  <si>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</si>
  <si>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</si>
  <si>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</si>
  <si>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</si>
  <si>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</si>
  <si>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</si>
  <si>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</si>
  <si>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</si>
  <si>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</si>
  <si>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</si>
  <si>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</si>
  <si>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</si>
  <si>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</si>
  <si>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</si>
  <si>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</si>
  <si>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</si>
  <si>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</si>
  <si>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</si>
  <si>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</si>
  <si>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</si>
  <si>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</si>
  <si>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</si>
  <si>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</si>
  <si>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</si>
  <si>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</si>
  <si>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</si>
  <si>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</si>
  <si>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</si>
  <si>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</si>
  <si>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</si>
  <si>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</si>
  <si>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</si>
  <si>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</si>
  <si>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</si>
  <si>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</si>
  <si>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</si>
  <si>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</si>
  <si>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</si>
  <si>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</si>
  <si>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</si>
  <si>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</si>
  <si>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</si>
  <si>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</si>
  <si>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</si>
  <si>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</si>
  <si>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</si>
  <si>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</si>
  <si>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</si>
  <si>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</si>
  <si>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</si>
  <si>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</si>
  <si>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</si>
  <si>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</si>
  <si>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</si>
  <si>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</si>
  <si>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</si>
  <si>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</si>
  <si>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</si>
  <si>
    <t>Current population of Canton Zurich</t>
  </si>
  <si>
    <t>Annual Calculations</t>
  </si>
  <si>
    <t xml:space="preserve">Swiss Population Growth </t>
  </si>
  <si>
    <t>Benefits</t>
  </si>
  <si>
    <t>Lifecycle Costs (discounted, 60 yrs)</t>
  </si>
  <si>
    <t>Lifecycle Benefits (discounted, 60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</si>
</sst>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69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169" fontId="0" fillId="0" borderId="0" xfId="0" applyNumberFormat="1"/>
    <xf numFmtId="168" fontId="0" fillId="0" borderId="0" xfId="0" applyNumberFormat="1"/>
    <xf numFmtId="0" fontId="10" fillId="0" borderId="0" xfId="0" applyFont="1"/>
    <xf numFmtId="10" fontId="0" fillId="0" borderId="0" xfId="0" applyNumberFormat="1" applyFont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166" fontId="0" fillId="0" borderId="9" xfId="0" applyNumberForma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4"/>
  <sheetViews>
    <sheetView topLeftCell="A42" zoomScale="106" workbookViewId="0">
      <selection activeCell="D46" sqref="D46"/>
    </sheetView>
  </sheetViews>
  <sheetFormatPr baseColWidth="10" defaultColWidth="8.83203125" defaultRowHeight="15" x14ac:dyDescent="0.2"/>
  <cols>
    <col min="1" max="1" width="22" customWidth="1"/>
    <col min="2" max="2" width="24" customWidth="1"/>
    <col min="3" max="3" width="22.33203125" customWidth="1"/>
    <col min="4" max="4" width="47.5" customWidth="1"/>
    <col min="5" max="5" width="5.5" customWidth="1"/>
    <col min="6" max="6" width="18.33203125" customWidth="1"/>
    <col min="7" max="7" width="29.83203125" customWidth="1"/>
    <col min="8" max="8" width="17.5" customWidth="1"/>
    <col min="9" max="9" width="12.5" customWidth="1"/>
    <col min="10" max="11" width="17.5" customWidth="1"/>
    <col min="12" max="12" width="13" customWidth="1"/>
    <col min="15" max="15" width="11.83203125" customWidth="1"/>
    <col min="16" max="16" width="12.83203125" customWidth="1"/>
    <col min="17" max="17" width="11.33203125" customWidth="1"/>
    <col min="18" max="18" width="12.1640625" customWidth="1"/>
  </cols>
  <sheetData>
    <row r="1" spans="1:11" s="12" customFormat="1" x14ac:dyDescent="0.2">
      <c r="A1" s="12" t="s">
        <v>43</v>
      </c>
      <c r="B1" s="12" t="s">
        <v>44</v>
      </c>
    </row>
    <row r="3" spans="1:11" ht="16" x14ac:dyDescent="0.2">
      <c r="C3" s="1" t="s">
        <v>13</v>
      </c>
      <c r="D3" s="7">
        <v>8000</v>
      </c>
      <c r="G3" s="3" t="s">
        <v>32</v>
      </c>
    </row>
    <row r="4" spans="1:11" x14ac:dyDescent="0.2">
      <c r="C4" s="1"/>
      <c r="G4" s="3" t="s">
        <v>33</v>
      </c>
    </row>
    <row r="5" spans="1:11" ht="16" x14ac:dyDescent="0.2">
      <c r="A5" s="3" t="s">
        <v>22</v>
      </c>
      <c r="B5" s="3" t="s">
        <v>23</v>
      </c>
      <c r="C5" s="1" t="s">
        <v>16</v>
      </c>
      <c r="D5" s="2">
        <f>D3*H5*H6</f>
        <v>1040000000</v>
      </c>
      <c r="G5" t="s">
        <v>37</v>
      </c>
      <c r="H5" s="7">
        <v>2</v>
      </c>
      <c r="I5" s="8" t="s">
        <v>38</v>
      </c>
    </row>
    <row r="6" spans="1:11" ht="16" x14ac:dyDescent="0.2">
      <c r="C6" s="1" t="s">
        <v>17</v>
      </c>
      <c r="D6" s="2">
        <f>H8*H7</f>
        <v>1280000</v>
      </c>
      <c r="G6" t="s">
        <v>36</v>
      </c>
      <c r="H6" s="7">
        <v>65000</v>
      </c>
    </row>
    <row r="7" spans="1:11" ht="16" x14ac:dyDescent="0.2">
      <c r="C7" s="1" t="s">
        <v>18</v>
      </c>
      <c r="D7" s="2">
        <f>D3*H9*H5</f>
        <v>35200000</v>
      </c>
      <c r="G7" t="s">
        <v>34</v>
      </c>
      <c r="H7" s="7">
        <v>320000</v>
      </c>
    </row>
    <row r="8" spans="1:11" ht="16" x14ac:dyDescent="0.2">
      <c r="C8" s="1" t="s">
        <v>19</v>
      </c>
      <c r="D8" s="2">
        <f>H5*H10*D3</f>
        <v>7520000</v>
      </c>
      <c r="G8" t="s">
        <v>35</v>
      </c>
      <c r="H8" s="7">
        <v>4</v>
      </c>
    </row>
    <row r="9" spans="1:11" ht="16" x14ac:dyDescent="0.2">
      <c r="C9" s="1" t="s">
        <v>20</v>
      </c>
      <c r="D9" s="2">
        <f>H11</f>
        <v>4200000</v>
      </c>
      <c r="G9" t="s">
        <v>18</v>
      </c>
      <c r="H9" s="7">
        <v>2200</v>
      </c>
    </row>
    <row r="10" spans="1:11" ht="16" x14ac:dyDescent="0.2">
      <c r="C10" s="9" t="s">
        <v>21</v>
      </c>
      <c r="D10" s="10">
        <f>(D3*H12*H5)/2</f>
        <v>640000000</v>
      </c>
      <c r="G10" t="s">
        <v>19</v>
      </c>
      <c r="H10" s="7">
        <v>470</v>
      </c>
    </row>
    <row r="11" spans="1:11" ht="16" x14ac:dyDescent="0.2">
      <c r="C11" s="4" t="s">
        <v>24</v>
      </c>
      <c r="D11" s="5">
        <f>SUM(D5:D10)</f>
        <v>1728200000</v>
      </c>
      <c r="G11" t="s">
        <v>39</v>
      </c>
      <c r="H11" s="7">
        <v>4200000</v>
      </c>
    </row>
    <row r="12" spans="1:11" x14ac:dyDescent="0.2">
      <c r="G12" t="s">
        <v>40</v>
      </c>
      <c r="H12" s="7">
        <v>80000</v>
      </c>
    </row>
    <row r="13" spans="1:11" x14ac:dyDescent="0.2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2">
      <c r="C14" s="4"/>
      <c r="D14" s="5"/>
      <c r="J14" s="2"/>
      <c r="K14" s="2"/>
    </row>
    <row r="15" spans="1:11" ht="32" x14ac:dyDescent="0.2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41</v>
      </c>
      <c r="H15" s="7">
        <v>7.6999999999999999E-2</v>
      </c>
    </row>
    <row r="16" spans="1:11" ht="48" x14ac:dyDescent="0.2">
      <c r="C16" s="9" t="s">
        <v>28</v>
      </c>
      <c r="D16" s="10">
        <f>D8*((1+H13)^-10 + (1+H13)^-20 +(1+ H13)^-30 + (1+H13)^-40 + (1+H13)^-50 )</f>
        <v>19037518.158102311</v>
      </c>
      <c r="G16" t="s">
        <v>42</v>
      </c>
      <c r="H16" s="7">
        <v>0.05</v>
      </c>
    </row>
    <row r="17" spans="1:9" ht="16" x14ac:dyDescent="0.2">
      <c r="C17" s="4" t="s">
        <v>30</v>
      </c>
      <c r="D17" s="5">
        <f>D15+D16</f>
        <v>71710187.283656985</v>
      </c>
    </row>
    <row r="18" spans="1:9" x14ac:dyDescent="0.2">
      <c r="C18" s="4"/>
      <c r="D18" s="5"/>
      <c r="G18" s="3" t="s">
        <v>51</v>
      </c>
    </row>
    <row r="19" spans="1:9" ht="16" x14ac:dyDescent="0.2">
      <c r="B19" s="4" t="s">
        <v>27</v>
      </c>
      <c r="C19" s="4"/>
      <c r="D19" s="2">
        <f>H16*(D11+D17)</f>
        <v>89995509.36418286</v>
      </c>
      <c r="G19" t="s">
        <v>52</v>
      </c>
      <c r="H19" s="7">
        <v>15</v>
      </c>
      <c r="I19" s="8" t="s">
        <v>56</v>
      </c>
    </row>
    <row r="20" spans="1:9" x14ac:dyDescent="0.2">
      <c r="B20" s="3" t="s">
        <v>31</v>
      </c>
      <c r="C20" s="4"/>
      <c r="D20" s="2">
        <f>(D17+D11)*H15</f>
        <v>138593084.4208416</v>
      </c>
      <c r="G20" t="s">
        <v>53</v>
      </c>
      <c r="H20" s="7">
        <v>14</v>
      </c>
    </row>
    <row r="21" spans="1:9" ht="16" thickBot="1" x14ac:dyDescent="0.25">
      <c r="C21" s="4"/>
      <c r="D21" s="2"/>
      <c r="G21" t="s">
        <v>54</v>
      </c>
      <c r="H21" s="7">
        <v>3</v>
      </c>
    </row>
    <row r="22" spans="1:9" ht="16" thickBot="1" x14ac:dyDescent="0.25">
      <c r="B22" s="28" t="s">
        <v>81</v>
      </c>
      <c r="C22" s="29"/>
      <c r="D22" s="32">
        <f>D11+D17+D19+D20</f>
        <v>2028498781.0686817</v>
      </c>
      <c r="F22" s="6"/>
      <c r="G22" t="s">
        <v>55</v>
      </c>
      <c r="H22" s="7">
        <v>8</v>
      </c>
    </row>
    <row r="23" spans="1:9" x14ac:dyDescent="0.2">
      <c r="C23" s="1"/>
      <c r="D23" s="5"/>
      <c r="F23" s="6"/>
      <c r="G23" t="s">
        <v>57</v>
      </c>
      <c r="H23" s="7">
        <v>18</v>
      </c>
      <c r="I23" s="33" t="s">
        <v>85</v>
      </c>
    </row>
    <row r="24" spans="1:9" x14ac:dyDescent="0.2">
      <c r="C24" s="1"/>
      <c r="D24" s="5"/>
      <c r="F24" s="6"/>
      <c r="G24" t="s">
        <v>58</v>
      </c>
      <c r="H24" s="7">
        <v>33</v>
      </c>
    </row>
    <row r="25" spans="1:9" ht="16" x14ac:dyDescent="0.2">
      <c r="A25" s="8" t="s">
        <v>94</v>
      </c>
      <c r="C25" s="35" t="s">
        <v>47</v>
      </c>
      <c r="D25" s="14" t="s">
        <v>48</v>
      </c>
      <c r="F25" s="6"/>
      <c r="G25" t="s">
        <v>62</v>
      </c>
      <c r="H25">
        <f>H24*(1-0.4)</f>
        <v>19.8</v>
      </c>
    </row>
    <row r="26" spans="1:9" ht="32" x14ac:dyDescent="0.2">
      <c r="A26" s="4" t="s">
        <v>46</v>
      </c>
      <c r="B26" s="34" t="s">
        <v>3</v>
      </c>
      <c r="C26" s="13">
        <v>452</v>
      </c>
      <c r="D26" s="13">
        <v>412</v>
      </c>
      <c r="F26" s="6"/>
      <c r="G26" t="s">
        <v>59</v>
      </c>
      <c r="H26" s="7">
        <v>37</v>
      </c>
    </row>
    <row r="27" spans="1:9" x14ac:dyDescent="0.2">
      <c r="A27" s="3"/>
      <c r="B27" s="34" t="s">
        <v>45</v>
      </c>
      <c r="C27" s="13">
        <v>322</v>
      </c>
      <c r="D27" s="13">
        <v>444</v>
      </c>
      <c r="F27" s="6"/>
      <c r="G27" t="s">
        <v>60</v>
      </c>
      <c r="H27" s="7">
        <v>33</v>
      </c>
    </row>
    <row r="28" spans="1:9" x14ac:dyDescent="0.2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2">
      <c r="A29" s="3"/>
      <c r="B29" s="34" t="s">
        <v>5</v>
      </c>
      <c r="C29" s="13">
        <v>6</v>
      </c>
      <c r="D29" s="13">
        <v>8</v>
      </c>
      <c r="F29" s="6"/>
      <c r="G29" t="s">
        <v>74</v>
      </c>
      <c r="H29" s="24">
        <v>6.1500000000000001E-3</v>
      </c>
    </row>
    <row r="30" spans="1:9" x14ac:dyDescent="0.2">
      <c r="A30" s="3"/>
      <c r="B30" s="34" t="s">
        <v>49</v>
      </c>
      <c r="C30" s="1">
        <f>SUM(C26:C29)</f>
        <v>807</v>
      </c>
      <c r="D30" s="15">
        <f>SUM(D26:D29)</f>
        <v>899</v>
      </c>
      <c r="F30" s="6"/>
      <c r="G30" t="s">
        <v>132</v>
      </c>
      <c r="H30" s="46">
        <v>1520000</v>
      </c>
    </row>
    <row r="31" spans="1:9" ht="48" x14ac:dyDescent="0.2">
      <c r="A31" s="4" t="s">
        <v>61</v>
      </c>
      <c r="B31" t="s">
        <v>50</v>
      </c>
      <c r="C31" s="16">
        <f>C30*52</f>
        <v>41964</v>
      </c>
      <c r="D31" s="16">
        <f>D30*52</f>
        <v>46748</v>
      </c>
      <c r="F31" s="6"/>
      <c r="G31" t="s">
        <v>93</v>
      </c>
      <c r="H31" s="7">
        <v>1254</v>
      </c>
    </row>
    <row r="32" spans="1:9" x14ac:dyDescent="0.2">
      <c r="C32" s="1"/>
      <c r="D32" s="5"/>
      <c r="F32" s="6"/>
    </row>
    <row r="33" spans="1:18" x14ac:dyDescent="0.2">
      <c r="C33" s="1"/>
      <c r="D33" s="5"/>
      <c r="F33" s="6"/>
    </row>
    <row r="34" spans="1:18" x14ac:dyDescent="0.2">
      <c r="C34" s="1"/>
      <c r="D34" s="3"/>
      <c r="F34" s="6"/>
      <c r="H34" s="3" t="s">
        <v>73</v>
      </c>
      <c r="I34" t="s">
        <v>94</v>
      </c>
      <c r="K34" s="33"/>
    </row>
    <row r="35" spans="1:18" x14ac:dyDescent="0.2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68</v>
      </c>
      <c r="N35" s="17"/>
      <c r="O35" s="17"/>
      <c r="P35" s="17"/>
      <c r="Q35" s="22" t="s">
        <v>72</v>
      </c>
      <c r="R35" s="22"/>
    </row>
    <row r="36" spans="1:18" ht="64" x14ac:dyDescent="0.2">
      <c r="C36" s="35" t="s">
        <v>96</v>
      </c>
      <c r="D36" s="47" t="s">
        <v>95</v>
      </c>
      <c r="G36" t="s">
        <v>12</v>
      </c>
      <c r="H36" s="1" t="s">
        <v>7</v>
      </c>
      <c r="I36" s="1" t="s">
        <v>90</v>
      </c>
      <c r="J36" s="1" t="s">
        <v>91</v>
      </c>
      <c r="K36" s="4" t="s">
        <v>69</v>
      </c>
      <c r="L36" s="1" t="s">
        <v>67</v>
      </c>
      <c r="M36" s="1" t="s">
        <v>64</v>
      </c>
      <c r="N36" s="1" t="s">
        <v>66</v>
      </c>
      <c r="O36" s="1" t="s">
        <v>65</v>
      </c>
      <c r="P36" s="4" t="s">
        <v>9</v>
      </c>
      <c r="Q36" s="1" t="s">
        <v>70</v>
      </c>
      <c r="R36" s="1" t="s">
        <v>71</v>
      </c>
    </row>
    <row r="37" spans="1:18" ht="16" x14ac:dyDescent="0.2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1470719.9999999998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16" x14ac:dyDescent="0.2">
      <c r="B38" s="48" t="s">
        <v>8</v>
      </c>
      <c r="C38" s="2">
        <f>SUM(P37:P40)</f>
        <v>15.748200000000001</v>
      </c>
      <c r="D38" s="26">
        <f t="shared" ref="D38:D41" si="0">C38*($H$30/$H$31)</f>
        <v>19088.727272727272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ht="16" x14ac:dyDescent="0.2">
      <c r="B39" s="34" t="s">
        <v>63</v>
      </c>
      <c r="C39" s="2">
        <f>SUM(R37:R40)</f>
        <v>12.899999999999999</v>
      </c>
      <c r="D39" s="26">
        <f t="shared" si="0"/>
        <v>15636.363636363632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ht="16" x14ac:dyDescent="0.2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ht="16" x14ac:dyDescent="0.2">
      <c r="B41" s="36" t="s">
        <v>49</v>
      </c>
      <c r="C41" s="2">
        <f>SUM(C37:C39)</f>
        <v>1241.9921999999999</v>
      </c>
      <c r="D41" s="26">
        <f t="shared" si="0"/>
        <v>1505445.0909090906</v>
      </c>
      <c r="F41" s="6"/>
    </row>
    <row r="42" spans="1:18" x14ac:dyDescent="0.2">
      <c r="D42" s="2"/>
    </row>
    <row r="43" spans="1:18" x14ac:dyDescent="0.2">
      <c r="A43" s="3" t="s">
        <v>89</v>
      </c>
      <c r="C43" s="2">
        <f>52*C41</f>
        <v>64583.594399999994</v>
      </c>
      <c r="D43" s="2">
        <f>52*D41</f>
        <v>78283144.727272704</v>
      </c>
    </row>
    <row r="44" spans="1:18" ht="16" thickBot="1" x14ac:dyDescent="0.25">
      <c r="D44" s="2"/>
    </row>
    <row r="45" spans="1:18" ht="16" thickBot="1" x14ac:dyDescent="0.25">
      <c r="B45" s="27" t="s">
        <v>75</v>
      </c>
      <c r="C45" s="30"/>
      <c r="D45" s="31">
        <f>SUM(B74:B134)</f>
        <v>2884783680.2135434</v>
      </c>
    </row>
    <row r="48" spans="1:18" ht="16" x14ac:dyDescent="0.2">
      <c r="A48" s="41" t="s">
        <v>15</v>
      </c>
      <c r="B48" s="42">
        <f>D45/D22</f>
        <v>1.4221273915154842</v>
      </c>
    </row>
    <row r="50" spans="1:4" x14ac:dyDescent="0.2">
      <c r="A50" s="3" t="s">
        <v>120</v>
      </c>
    </row>
    <row r="51" spans="1:4" x14ac:dyDescent="0.2">
      <c r="A51" t="s">
        <v>122</v>
      </c>
      <c r="B51" t="s">
        <v>121</v>
      </c>
      <c r="D51" t="s">
        <v>106</v>
      </c>
    </row>
    <row r="52" spans="1:4" x14ac:dyDescent="0.2">
      <c r="B52" s="49">
        <v>1</v>
      </c>
      <c r="C52" s="2">
        <v>2028498781.0686817</v>
      </c>
      <c r="D52" s="51">
        <f>B48</f>
        <v>1.4221273915154842</v>
      </c>
    </row>
    <row r="53" spans="1:4" x14ac:dyDescent="0.2">
      <c r="B53" s="49">
        <v>0.5</v>
      </c>
      <c r="C53" s="2">
        <v>1014249390.5343409</v>
      </c>
      <c r="D53" s="51">
        <f t="dataTable" ref="D53:D56" dt2D="0" dtr="0" r1="D22"/>
        <v>2.8442547830309683</v>
      </c>
    </row>
    <row r="54" spans="1:4" x14ac:dyDescent="0.2">
      <c r="B54" s="49">
        <v>0.75</v>
      </c>
      <c r="C54" s="2">
        <v>1521374085.8015113</v>
      </c>
      <c r="D54" s="51">
        <v>1.8961698553539788</v>
      </c>
    </row>
    <row r="55" spans="1:4" x14ac:dyDescent="0.2">
      <c r="B55" s="49">
        <v>1.5</v>
      </c>
      <c r="C55" s="2">
        <v>3042748171.6030226</v>
      </c>
      <c r="D55" s="51">
        <v>0.94808492767698938</v>
      </c>
    </row>
    <row r="56" spans="1:4" x14ac:dyDescent="0.2">
      <c r="B56" s="49">
        <v>2</v>
      </c>
      <c r="C56" s="2">
        <v>4056997562.1373634</v>
      </c>
      <c r="D56" s="51">
        <v>0.71106369575774209</v>
      </c>
    </row>
    <row r="57" spans="1:4" x14ac:dyDescent="0.2">
      <c r="A57" s="3" t="s">
        <v>123</v>
      </c>
    </row>
    <row r="58" spans="1:4" x14ac:dyDescent="0.2">
      <c r="A58" s="8" t="s">
        <v>127</v>
      </c>
      <c r="B58" s="53">
        <v>2.5000000000000001E-2</v>
      </c>
      <c r="C58" s="51">
        <f>B48</f>
        <v>1.4221273915154842</v>
      </c>
    </row>
    <row r="59" spans="1:4" x14ac:dyDescent="0.2">
      <c r="A59" s="8" t="s">
        <v>124</v>
      </c>
      <c r="B59" s="53">
        <v>0.05</v>
      </c>
      <c r="C59" s="51">
        <f t="dataTable" ref="C59:C61" dt2D="0" dtr="0" r1="H13" ca="1"/>
        <v>0.87099223201303466</v>
      </c>
    </row>
    <row r="60" spans="1:4" x14ac:dyDescent="0.2">
      <c r="A60" s="8" t="s">
        <v>125</v>
      </c>
      <c r="B60" s="45">
        <v>7.0000000000000007E-2</v>
      </c>
      <c r="C60" s="51">
        <v>0.64780549766077467</v>
      </c>
    </row>
    <row r="61" spans="1:4" x14ac:dyDescent="0.2">
      <c r="A61" s="8" t="s">
        <v>126</v>
      </c>
      <c r="B61" s="53">
        <v>1.4999999999999999E-2</v>
      </c>
      <c r="C61" s="51">
        <v>1.8100944309684392</v>
      </c>
    </row>
    <row r="62" spans="1:4" x14ac:dyDescent="0.2">
      <c r="A62" s="8"/>
      <c r="B62" s="23"/>
      <c r="C62" s="51"/>
    </row>
    <row r="64" spans="1:4" x14ac:dyDescent="0.2">
      <c r="A64" s="3" t="s">
        <v>130</v>
      </c>
      <c r="C64" t="s">
        <v>131</v>
      </c>
    </row>
    <row r="65" spans="1:3" x14ac:dyDescent="0.2">
      <c r="A65" s="8" t="s">
        <v>128</v>
      </c>
      <c r="B65">
        <f>H38</f>
        <v>14.4</v>
      </c>
      <c r="C65" s="52">
        <f>B48</f>
        <v>1.4221273915154842</v>
      </c>
    </row>
    <row r="66" spans="1:3" x14ac:dyDescent="0.2">
      <c r="A66" s="8" t="s">
        <v>129</v>
      </c>
      <c r="B66">
        <v>20.8</v>
      </c>
      <c r="C66" s="52">
        <f t="dataTable" ref="C66" dt2D="0" dtr="0" r1="H38" ca="1"/>
        <v>2.0396047844155416</v>
      </c>
    </row>
    <row r="70" spans="1:3" x14ac:dyDescent="0.2">
      <c r="A70" s="3" t="s">
        <v>76</v>
      </c>
    </row>
    <row r="71" spans="1:3" x14ac:dyDescent="0.2">
      <c r="A71" t="s">
        <v>77</v>
      </c>
      <c r="B71" s="23">
        <f>H29</f>
        <v>6.1500000000000001E-3</v>
      </c>
    </row>
    <row r="72" spans="1:3" x14ac:dyDescent="0.2">
      <c r="A72" t="s">
        <v>78</v>
      </c>
      <c r="B72" s="45">
        <f>H13</f>
        <v>2.5000000000000001E-2</v>
      </c>
    </row>
    <row r="73" spans="1:3" x14ac:dyDescent="0.2">
      <c r="A73" t="s">
        <v>79</v>
      </c>
      <c r="B73" s="25" t="s">
        <v>80</v>
      </c>
    </row>
    <row r="74" spans="1:3" x14ac:dyDescent="0.2">
      <c r="A74">
        <v>0</v>
      </c>
      <c r="B74" s="26">
        <f>$D$43*(1+$B$72)^-A74*(1+$B$71)^A74</f>
        <v>78283144.727272704</v>
      </c>
    </row>
    <row r="75" spans="1:3" x14ac:dyDescent="0.2">
      <c r="A75">
        <v>1</v>
      </c>
      <c r="B75" s="26">
        <f t="shared" ref="B74:B105" si="2">$D$43*(1+$B$72)^-A75*(1+$B$71)^A75</f>
        <v>76843498.602288246</v>
      </c>
    </row>
    <row r="76" spans="1:3" x14ac:dyDescent="0.2">
      <c r="A76">
        <v>2</v>
      </c>
      <c r="B76" s="26">
        <f t="shared" si="2"/>
        <v>75430327.920675427</v>
      </c>
    </row>
    <row r="77" spans="1:3" x14ac:dyDescent="0.2">
      <c r="A77">
        <f>A76+1</f>
        <v>3</v>
      </c>
      <c r="B77" s="26">
        <f t="shared" si="2"/>
        <v>74043145.792573258</v>
      </c>
    </row>
    <row r="78" spans="1:3" x14ac:dyDescent="0.2">
      <c r="A78">
        <f t="shared" ref="A78:A134" si="3">A77+1</f>
        <v>4</v>
      </c>
      <c r="B78" s="26">
        <f t="shared" si="2"/>
        <v>72681474.28214401</v>
      </c>
    </row>
    <row r="79" spans="1:3" x14ac:dyDescent="0.2">
      <c r="A79">
        <f t="shared" si="3"/>
        <v>5</v>
      </c>
      <c r="B79" s="26">
        <f t="shared" si="2"/>
        <v>71344844.242906526</v>
      </c>
    </row>
    <row r="80" spans="1:3" x14ac:dyDescent="0.2">
      <c r="A80">
        <f t="shared" si="3"/>
        <v>6</v>
      </c>
      <c r="B80" s="26">
        <f t="shared" si="2"/>
        <v>70032795.156097963</v>
      </c>
    </row>
    <row r="81" spans="1:2" x14ac:dyDescent="0.2">
      <c r="A81">
        <f t="shared" si="3"/>
        <v>7</v>
      </c>
      <c r="B81" s="26">
        <f t="shared" si="2"/>
        <v>68744874.972007781</v>
      </c>
    </row>
    <row r="82" spans="1:2" x14ac:dyDescent="0.2">
      <c r="A82">
        <f t="shared" si="3"/>
        <v>8</v>
      </c>
      <c r="B82" s="26">
        <f t="shared" si="2"/>
        <v>67480639.954229891</v>
      </c>
    </row>
    <row r="83" spans="1:2" x14ac:dyDescent="0.2">
      <c r="A83">
        <f t="shared" si="3"/>
        <v>9</v>
      </c>
      <c r="B83" s="26">
        <f t="shared" si="2"/>
        <v>66239654.526778951</v>
      </c>
    </row>
    <row r="84" spans="1:2" x14ac:dyDescent="0.2">
      <c r="A84">
        <f t="shared" si="3"/>
        <v>10</v>
      </c>
      <c r="B84" s="26">
        <f t="shared" si="2"/>
        <v>65021491.124018192</v>
      </c>
    </row>
    <row r="85" spans="1:2" x14ac:dyDescent="0.2">
      <c r="A85">
        <f t="shared" si="3"/>
        <v>11</v>
      </c>
      <c r="B85" s="26">
        <f t="shared" si="2"/>
        <v>63825730.043347217</v>
      </c>
    </row>
    <row r="86" spans="1:2" x14ac:dyDescent="0.2">
      <c r="A86">
        <f t="shared" si="3"/>
        <v>12</v>
      </c>
      <c r="B86" s="26">
        <f t="shared" si="2"/>
        <v>62651959.30059886</v>
      </c>
    </row>
    <row r="87" spans="1:2" x14ac:dyDescent="0.2">
      <c r="A87">
        <f t="shared" si="3"/>
        <v>13</v>
      </c>
      <c r="B87" s="26">
        <f t="shared" si="2"/>
        <v>61499774.488095157</v>
      </c>
    </row>
    <row r="88" spans="1:2" x14ac:dyDescent="0.2">
      <c r="A88">
        <f t="shared" si="3"/>
        <v>14</v>
      </c>
      <c r="B88" s="26">
        <f t="shared" si="2"/>
        <v>60368778.635314107</v>
      </c>
    </row>
    <row r="89" spans="1:2" x14ac:dyDescent="0.2">
      <c r="A89">
        <f t="shared" si="3"/>
        <v>15</v>
      </c>
      <c r="B89" s="26">
        <f t="shared" si="2"/>
        <v>59258582.072118327</v>
      </c>
    </row>
    <row r="90" spans="1:2" x14ac:dyDescent="0.2">
      <c r="A90">
        <f>A89+1</f>
        <v>16</v>
      </c>
      <c r="B90" s="26">
        <f t="shared" si="2"/>
        <v>58168802.294499375</v>
      </c>
    </row>
    <row r="91" spans="1:2" x14ac:dyDescent="0.2">
      <c r="A91">
        <f t="shared" si="3"/>
        <v>17</v>
      </c>
      <c r="B91" s="26">
        <f t="shared" si="2"/>
        <v>57099063.832790792</v>
      </c>
    </row>
    <row r="92" spans="1:2" x14ac:dyDescent="0.2">
      <c r="A92">
        <f t="shared" si="3"/>
        <v>18</v>
      </c>
      <c r="B92" s="26">
        <f t="shared" si="2"/>
        <v>56048998.122304827</v>
      </c>
    </row>
    <row r="93" spans="1:2" x14ac:dyDescent="0.2">
      <c r="A93">
        <f t="shared" si="3"/>
        <v>19</v>
      </c>
      <c r="B93" s="26">
        <f t="shared" si="2"/>
        <v>55018243.376348302</v>
      </c>
    </row>
    <row r="94" spans="1:2" x14ac:dyDescent="0.2">
      <c r="A94">
        <f t="shared" si="3"/>
        <v>20</v>
      </c>
      <c r="B94" s="26">
        <f t="shared" si="2"/>
        <v>54006444.461573519</v>
      </c>
    </row>
    <row r="95" spans="1:2" x14ac:dyDescent="0.2">
      <c r="A95">
        <f t="shared" si="3"/>
        <v>21</v>
      </c>
      <c r="B95" s="26">
        <f t="shared" si="2"/>
        <v>53013252.775621668</v>
      </c>
    </row>
    <row r="96" spans="1:2" x14ac:dyDescent="0.2">
      <c r="A96">
        <f t="shared" si="3"/>
        <v>22</v>
      </c>
      <c r="B96" s="26">
        <f t="shared" si="2"/>
        <v>52038326.127016336</v>
      </c>
    </row>
    <row r="97" spans="1:2" x14ac:dyDescent="0.2">
      <c r="A97">
        <f t="shared" si="3"/>
        <v>23</v>
      </c>
      <c r="B97" s="26">
        <f t="shared" si="2"/>
        <v>51081328.617265843</v>
      </c>
    </row>
    <row r="98" spans="1:2" x14ac:dyDescent="0.2">
      <c r="A98">
        <f t="shared" si="3"/>
        <v>24</v>
      </c>
      <c r="B98" s="26">
        <f t="shared" si="2"/>
        <v>50141930.525133699</v>
      </c>
    </row>
    <row r="99" spans="1:2" x14ac:dyDescent="0.2">
      <c r="A99">
        <f t="shared" si="3"/>
        <v>25</v>
      </c>
      <c r="B99" s="26">
        <f t="shared" si="2"/>
        <v>49219808.193037339</v>
      </c>
    </row>
    <row r="100" spans="1:2" x14ac:dyDescent="0.2">
      <c r="A100">
        <f t="shared" si="3"/>
        <v>26</v>
      </c>
      <c r="B100" s="26">
        <f t="shared" si="2"/>
        <v>48314643.915536135</v>
      </c>
    </row>
    <row r="101" spans="1:2" x14ac:dyDescent="0.2">
      <c r="A101">
        <f t="shared" si="3"/>
        <v>27</v>
      </c>
      <c r="B101" s="26">
        <f t="shared" si="2"/>
        <v>47426125.829869926</v>
      </c>
    </row>
    <row r="102" spans="1:2" x14ac:dyDescent="0.2">
      <c r="A102">
        <f t="shared" si="3"/>
        <v>28</v>
      </c>
      <c r="B102" s="26">
        <f t="shared" si="2"/>
        <v>46553947.808510877</v>
      </c>
    </row>
    <row r="103" spans="1:2" x14ac:dyDescent="0.2">
      <c r="A103">
        <f>A102+1</f>
        <v>29</v>
      </c>
      <c r="B103" s="26">
        <f t="shared" si="2"/>
        <v>45697809.353690922</v>
      </c>
    </row>
    <row r="104" spans="1:2" x14ac:dyDescent="0.2">
      <c r="A104">
        <f t="shared" si="3"/>
        <v>30</v>
      </c>
      <c r="B104" s="26">
        <f t="shared" si="2"/>
        <v>44857415.493869409</v>
      </c>
    </row>
    <row r="105" spans="1:2" x14ac:dyDescent="0.2">
      <c r="A105">
        <f t="shared" si="3"/>
        <v>31</v>
      </c>
      <c r="B105" s="26">
        <f t="shared" si="2"/>
        <v>44032476.682104088</v>
      </c>
    </row>
    <row r="106" spans="1:2" x14ac:dyDescent="0.2">
      <c r="A106">
        <f t="shared" si="3"/>
        <v>32</v>
      </c>
      <c r="B106" s="26">
        <f t="shared" ref="B106:B134" si="4">$D$43*(1+$B$72)^-A106*(1+$B$71)^A106</f>
        <v>43222708.69629176</v>
      </c>
    </row>
    <row r="107" spans="1:2" x14ac:dyDescent="0.2">
      <c r="A107">
        <f t="shared" si="3"/>
        <v>33</v>
      </c>
      <c r="B107" s="26">
        <f t="shared" si="4"/>
        <v>42427832.54124289</v>
      </c>
    </row>
    <row r="108" spans="1:2" x14ac:dyDescent="0.2">
      <c r="A108">
        <f t="shared" si="3"/>
        <v>34</v>
      </c>
      <c r="B108" s="26">
        <f t="shared" si="4"/>
        <v>41647574.3525576</v>
      </c>
    </row>
    <row r="109" spans="1:2" x14ac:dyDescent="0.2">
      <c r="A109">
        <f t="shared" si="3"/>
        <v>35</v>
      </c>
      <c r="B109" s="26">
        <f t="shared" si="4"/>
        <v>40881665.302269101</v>
      </c>
    </row>
    <row r="110" spans="1:2" x14ac:dyDescent="0.2">
      <c r="A110">
        <f t="shared" si="3"/>
        <v>36</v>
      </c>
      <c r="B110" s="26">
        <f t="shared" si="4"/>
        <v>40129841.506222501</v>
      </c>
    </row>
    <row r="111" spans="1:2" x14ac:dyDescent="0.2">
      <c r="A111">
        <f t="shared" si="3"/>
        <v>37</v>
      </c>
      <c r="B111" s="26">
        <f t="shared" si="4"/>
        <v>39391843.933156848</v>
      </c>
    </row>
    <row r="112" spans="1:2" x14ac:dyDescent="0.2">
      <c r="A112">
        <f t="shared" si="3"/>
        <v>38</v>
      </c>
      <c r="B112" s="26">
        <f t="shared" si="4"/>
        <v>38667418.315459296</v>
      </c>
    </row>
    <row r="113" spans="1:2" x14ac:dyDescent="0.2">
      <c r="A113">
        <f t="shared" si="3"/>
        <v>39</v>
      </c>
      <c r="B113" s="26">
        <f t="shared" si="4"/>
        <v>37956315.061560355</v>
      </c>
    </row>
    <row r="114" spans="1:2" x14ac:dyDescent="0.2">
      <c r="A114">
        <f t="shared" si="3"/>
        <v>40</v>
      </c>
      <c r="B114" s="26">
        <f t="shared" si="4"/>
        <v>37258289.169940449</v>
      </c>
    </row>
    <row r="115" spans="1:2" x14ac:dyDescent="0.2">
      <c r="A115">
        <f t="shared" si="3"/>
        <v>41</v>
      </c>
      <c r="B115" s="26">
        <f t="shared" si="4"/>
        <v>36573100.144717649</v>
      </c>
    </row>
    <row r="116" spans="1:2" x14ac:dyDescent="0.2">
      <c r="A116">
        <f>A115+1</f>
        <v>42</v>
      </c>
      <c r="B116" s="26">
        <f t="shared" si="4"/>
        <v>35900511.912787966</v>
      </c>
    </row>
    <row r="117" spans="1:2" x14ac:dyDescent="0.2">
      <c r="A117">
        <f t="shared" si="3"/>
        <v>43</v>
      </c>
      <c r="B117" s="26">
        <f t="shared" si="4"/>
        <v>35240292.742489375</v>
      </c>
    </row>
    <row r="118" spans="1:2" x14ac:dyDescent="0.2">
      <c r="A118">
        <f t="shared" si="3"/>
        <v>44</v>
      </c>
      <c r="B118" s="26">
        <f t="shared" si="4"/>
        <v>34592215.16376166</v>
      </c>
    </row>
    <row r="119" spans="1:2" x14ac:dyDescent="0.2">
      <c r="A119">
        <f>A118+1</f>
        <v>45</v>
      </c>
      <c r="B119" s="26">
        <f t="shared" si="4"/>
        <v>33956055.889774427</v>
      </c>
    </row>
    <row r="120" spans="1:2" x14ac:dyDescent="0.2">
      <c r="A120">
        <f t="shared" si="3"/>
        <v>46</v>
      </c>
      <c r="B120" s="26">
        <f t="shared" si="4"/>
        <v>33331595.739996634</v>
      </c>
    </row>
    <row r="121" spans="1:2" x14ac:dyDescent="0.2">
      <c r="A121">
        <f t="shared" si="3"/>
        <v>47</v>
      </c>
      <c r="B121" s="26">
        <f t="shared" si="4"/>
        <v>32718619.564680599</v>
      </c>
    </row>
    <row r="122" spans="1:2" x14ac:dyDescent="0.2">
      <c r="A122">
        <f t="shared" si="3"/>
        <v>48</v>
      </c>
      <c r="B122" s="26">
        <f t="shared" si="4"/>
        <v>32116916.170735013</v>
      </c>
    </row>
    <row r="123" spans="1:2" x14ac:dyDescent="0.2">
      <c r="A123">
        <f t="shared" si="3"/>
        <v>49</v>
      </c>
      <c r="B123" s="26">
        <f t="shared" si="4"/>
        <v>31526278.248961017</v>
      </c>
    </row>
    <row r="124" spans="1:2" x14ac:dyDescent="0.2">
      <c r="A124">
        <f t="shared" si="3"/>
        <v>50</v>
      </c>
      <c r="B124" s="26">
        <f t="shared" si="4"/>
        <v>30946502.302626465</v>
      </c>
    </row>
    <row r="125" spans="1:2" x14ac:dyDescent="0.2">
      <c r="A125">
        <f t="shared" si="3"/>
        <v>51</v>
      </c>
      <c r="B125" s="26">
        <f t="shared" si="4"/>
        <v>30377388.577353776</v>
      </c>
    </row>
    <row r="126" spans="1:2" x14ac:dyDescent="0.2">
      <c r="A126">
        <f t="shared" si="3"/>
        <v>52</v>
      </c>
      <c r="B126" s="26">
        <f t="shared" si="4"/>
        <v>29818740.992297079</v>
      </c>
    </row>
    <row r="127" spans="1:2" x14ac:dyDescent="0.2">
      <c r="A127">
        <f t="shared" si="3"/>
        <v>53</v>
      </c>
      <c r="B127" s="26">
        <f t="shared" si="4"/>
        <v>29270367.072585084</v>
      </c>
    </row>
    <row r="128" spans="1:2" x14ac:dyDescent="0.2">
      <c r="A128">
        <f t="shared" si="3"/>
        <v>54</v>
      </c>
      <c r="B128" s="26">
        <f t="shared" si="4"/>
        <v>28732077.883006334</v>
      </c>
    </row>
    <row r="129" spans="1:2" x14ac:dyDescent="0.2">
      <c r="A129">
        <f t="shared" si="3"/>
        <v>55</v>
      </c>
      <c r="B129" s="26">
        <f t="shared" si="4"/>
        <v>28203687.962913968</v>
      </c>
    </row>
    <row r="130" spans="1:2" x14ac:dyDescent="0.2">
      <c r="A130">
        <f t="shared" si="3"/>
        <v>56</v>
      </c>
      <c r="B130" s="26">
        <f t="shared" si="4"/>
        <v>27685015.262327705</v>
      </c>
    </row>
    <row r="131" spans="1:2" x14ac:dyDescent="0.2">
      <c r="A131">
        <f t="shared" si="3"/>
        <v>57</v>
      </c>
      <c r="B131" s="26">
        <f t="shared" si="4"/>
        <v>27175881.079210754</v>
      </c>
    </row>
    <row r="132" spans="1:2" x14ac:dyDescent="0.2">
      <c r="A132">
        <f>A131+1</f>
        <v>58</v>
      </c>
      <c r="B132" s="26">
        <f t="shared" si="4"/>
        <v>26676109.997900393</v>
      </c>
    </row>
    <row r="133" spans="1:2" x14ac:dyDescent="0.2">
      <c r="A133">
        <f t="shared" si="3"/>
        <v>59</v>
      </c>
      <c r="B133" s="26">
        <f t="shared" si="4"/>
        <v>26185529.82867071</v>
      </c>
    </row>
    <row r="134" spans="1:2" x14ac:dyDescent="0.2">
      <c r="A134">
        <f t="shared" si="3"/>
        <v>60</v>
      </c>
      <c r="B134" s="26">
        <f t="shared" si="4"/>
        <v>25703971.548406877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131"/>
  <sheetViews>
    <sheetView tabSelected="1" topLeftCell="A44" zoomScale="112" workbookViewId="0">
      <selection activeCell="B58" sqref="B58"/>
    </sheetView>
  </sheetViews>
  <sheetFormatPr baseColWidth="10" defaultColWidth="8.83203125" defaultRowHeight="15" x14ac:dyDescent="0.2"/>
  <cols>
    <col min="1" max="1" width="28.6640625" customWidth="1"/>
    <col min="2" max="2" width="30.1640625" customWidth="1"/>
    <col min="3" max="3" width="19.1640625" customWidth="1"/>
    <col min="4" max="5" width="19.5" customWidth="1"/>
    <col min="7" max="7" width="31.83203125" customWidth="1"/>
    <col min="8" max="8" width="14.6640625" customWidth="1"/>
    <col min="9" max="9" width="15.6640625" customWidth="1"/>
    <col min="10" max="10" width="12" customWidth="1"/>
    <col min="11" max="11" width="14.5" customWidth="1"/>
    <col min="12" max="12" width="12.83203125" customWidth="1"/>
    <col min="13" max="13" width="10.6640625" customWidth="1"/>
    <col min="14" max="14" width="11.6640625" customWidth="1"/>
    <col min="16" max="16" width="12.5" customWidth="1"/>
    <col min="18" max="18" width="12.83203125" customWidth="1"/>
  </cols>
  <sheetData>
    <row r="1" spans="1:14" s="12" customFormat="1" x14ac:dyDescent="0.2">
      <c r="A1" s="12" t="s">
        <v>82</v>
      </c>
      <c r="B1" s="12" t="s">
        <v>83</v>
      </c>
      <c r="G1" s="43" t="s">
        <v>104</v>
      </c>
    </row>
    <row r="2" spans="1:14" x14ac:dyDescent="0.2">
      <c r="B2" s="1"/>
      <c r="G2" t="s">
        <v>74</v>
      </c>
      <c r="H2" s="13">
        <v>6.1500000000000001E-3</v>
      </c>
    </row>
    <row r="3" spans="1:14" x14ac:dyDescent="0.2">
      <c r="B3" s="1"/>
      <c r="G3" t="s">
        <v>123</v>
      </c>
      <c r="H3" s="24">
        <v>2.5000000000000001E-2</v>
      </c>
    </row>
    <row r="4" spans="1:14" x14ac:dyDescent="0.2">
      <c r="B4" s="1"/>
      <c r="G4" t="s">
        <v>132</v>
      </c>
      <c r="H4" s="7">
        <v>1520000</v>
      </c>
    </row>
    <row r="5" spans="1:14" x14ac:dyDescent="0.2">
      <c r="B5" s="1"/>
    </row>
    <row r="6" spans="1:14" x14ac:dyDescent="0.2">
      <c r="B6" s="1"/>
      <c r="G6" s="3" t="s">
        <v>33</v>
      </c>
    </row>
    <row r="7" spans="1:14" ht="32" x14ac:dyDescent="0.2">
      <c r="A7" s="3" t="s">
        <v>1</v>
      </c>
      <c r="B7" s="1" t="s">
        <v>92</v>
      </c>
      <c r="C7" s="26">
        <f>10*D15*H4/H19</f>
        <v>25503030.303030305</v>
      </c>
      <c r="G7" t="s">
        <v>102</v>
      </c>
      <c r="H7" s="50">
        <v>0.1</v>
      </c>
    </row>
    <row r="8" spans="1:14" ht="32" x14ac:dyDescent="0.2">
      <c r="A8" s="3"/>
      <c r="B8" s="1" t="s">
        <v>101</v>
      </c>
      <c r="C8" s="2">
        <f xml:space="preserve"> H7*C7</f>
        <v>2550303.0303030307</v>
      </c>
    </row>
    <row r="9" spans="1:14" ht="16" x14ac:dyDescent="0.2">
      <c r="A9" s="3"/>
      <c r="B9" s="4" t="s">
        <v>11</v>
      </c>
      <c r="C9" s="5">
        <f>C8</f>
        <v>2550303.0303030307</v>
      </c>
      <c r="G9" s="3" t="s">
        <v>51</v>
      </c>
    </row>
    <row r="10" spans="1:14" x14ac:dyDescent="0.2">
      <c r="B10" s="1"/>
      <c r="G10" t="s">
        <v>52</v>
      </c>
      <c r="H10" s="7">
        <v>12</v>
      </c>
    </row>
    <row r="11" spans="1:14" x14ac:dyDescent="0.2">
      <c r="A11" s="3" t="s">
        <v>88</v>
      </c>
      <c r="B11" s="1"/>
      <c r="C11" s="40">
        <f>C9*52</f>
        <v>132615757.57575759</v>
      </c>
      <c r="G11" t="s">
        <v>53</v>
      </c>
      <c r="H11" s="7">
        <v>12</v>
      </c>
    </row>
    <row r="12" spans="1:14" x14ac:dyDescent="0.2">
      <c r="B12" s="1"/>
      <c r="G12" t="s">
        <v>54</v>
      </c>
      <c r="H12" s="7">
        <v>2</v>
      </c>
      <c r="I12" s="33" t="s">
        <v>86</v>
      </c>
    </row>
    <row r="13" spans="1:14" x14ac:dyDescent="0.2">
      <c r="B13" s="1"/>
      <c r="G13" t="s">
        <v>55</v>
      </c>
      <c r="H13" s="7">
        <v>5</v>
      </c>
    </row>
    <row r="14" spans="1:14" x14ac:dyDescent="0.2">
      <c r="A14" s="8" t="s">
        <v>100</v>
      </c>
      <c r="B14" s="1"/>
      <c r="C14" s="47" t="s">
        <v>47</v>
      </c>
      <c r="D14" s="47" t="s">
        <v>84</v>
      </c>
      <c r="G14" t="s">
        <v>57</v>
      </c>
      <c r="H14" s="7">
        <v>17</v>
      </c>
      <c r="I14" s="1"/>
      <c r="J14" s="1"/>
      <c r="K14" s="4"/>
      <c r="L14" s="1"/>
      <c r="M14" s="1"/>
      <c r="N14" s="4"/>
    </row>
    <row r="15" spans="1:14" ht="32" x14ac:dyDescent="0.2">
      <c r="A15" s="1" t="s">
        <v>46</v>
      </c>
      <c r="B15" s="36" t="s">
        <v>3</v>
      </c>
      <c r="C15" s="7">
        <v>3416</v>
      </c>
      <c r="D15" s="7">
        <v>2104</v>
      </c>
      <c r="E15">
        <f>D15-C15</f>
        <v>-1312</v>
      </c>
      <c r="G15" t="s">
        <v>58</v>
      </c>
      <c r="H15" s="7">
        <v>27</v>
      </c>
      <c r="I15" s="1"/>
      <c r="J15" s="1"/>
      <c r="K15" s="4"/>
      <c r="L15" s="1"/>
      <c r="M15" s="1"/>
      <c r="N15" s="4"/>
    </row>
    <row r="16" spans="1:14" ht="16" x14ac:dyDescent="0.2">
      <c r="B16" s="36" t="s">
        <v>45</v>
      </c>
      <c r="C16" s="7">
        <v>2742</v>
      </c>
      <c r="D16" s="7">
        <v>3089</v>
      </c>
      <c r="E16">
        <f t="shared" ref="E16:E18" si="0">D16-C16</f>
        <v>347</v>
      </c>
      <c r="H16" s="13"/>
      <c r="I16" s="1"/>
      <c r="J16" s="1"/>
      <c r="K16" s="4"/>
      <c r="L16" s="1"/>
      <c r="M16" s="1"/>
      <c r="N16" s="4"/>
    </row>
    <row r="17" spans="1:18" ht="16" x14ac:dyDescent="0.2">
      <c r="B17" s="36" t="s">
        <v>6</v>
      </c>
      <c r="C17" s="7">
        <v>3119</v>
      </c>
      <c r="D17" s="7">
        <v>3514</v>
      </c>
      <c r="E17">
        <f t="shared" si="0"/>
        <v>395</v>
      </c>
      <c r="G17" t="s">
        <v>59</v>
      </c>
      <c r="H17" s="13">
        <v>25</v>
      </c>
      <c r="I17" s="1"/>
      <c r="J17" s="1"/>
      <c r="K17" s="4"/>
      <c r="L17" s="1"/>
      <c r="M17" s="1"/>
      <c r="N17" s="4"/>
    </row>
    <row r="18" spans="1:18" ht="16" x14ac:dyDescent="0.2">
      <c r="B18" s="36" t="s">
        <v>5</v>
      </c>
      <c r="C18" s="7">
        <v>235</v>
      </c>
      <c r="D18" s="7">
        <v>265</v>
      </c>
      <c r="E18">
        <f t="shared" si="0"/>
        <v>30</v>
      </c>
      <c r="G18" t="s">
        <v>60</v>
      </c>
      <c r="H18" s="13">
        <v>20</v>
      </c>
      <c r="I18" s="1"/>
      <c r="J18" s="1"/>
      <c r="K18" s="4"/>
      <c r="L18" s="1"/>
      <c r="M18" s="1"/>
      <c r="N18" s="4"/>
    </row>
    <row r="19" spans="1:18" ht="16" x14ac:dyDescent="0.2">
      <c r="B19" s="36" t="s">
        <v>49</v>
      </c>
      <c r="C19">
        <f>SUM(C15:C18)</f>
        <v>9512</v>
      </c>
      <c r="D19">
        <f>SUM(D15:D18)</f>
        <v>8972</v>
      </c>
      <c r="G19" t="s">
        <v>99</v>
      </c>
      <c r="H19" s="1">
        <v>1254</v>
      </c>
      <c r="I19" s="1"/>
      <c r="J19" s="1"/>
      <c r="K19" s="4"/>
      <c r="L19" s="1"/>
      <c r="M19" s="1"/>
      <c r="N19" s="4"/>
    </row>
    <row r="20" spans="1:18" x14ac:dyDescent="0.2">
      <c r="B20" s="1"/>
      <c r="G20" t="s">
        <v>105</v>
      </c>
      <c r="H20" s="13">
        <v>90</v>
      </c>
      <c r="I20" s="1"/>
      <c r="J20" s="1"/>
      <c r="K20" s="4"/>
      <c r="L20" s="1"/>
      <c r="M20" s="1"/>
      <c r="N20" s="4"/>
    </row>
    <row r="21" spans="1:18" x14ac:dyDescent="0.2">
      <c r="I21" s="1"/>
      <c r="J21" s="1"/>
      <c r="K21" s="4"/>
      <c r="L21" s="1"/>
      <c r="M21" s="1"/>
      <c r="N21" s="4"/>
    </row>
    <row r="22" spans="1:18" x14ac:dyDescent="0.2">
      <c r="B22" s="1"/>
      <c r="G22" s="1"/>
      <c r="I22" s="1"/>
      <c r="K22" s="3"/>
      <c r="N22" s="3"/>
    </row>
    <row r="23" spans="1:18" x14ac:dyDescent="0.2">
      <c r="H23" s="3" t="s">
        <v>73</v>
      </c>
      <c r="I23" s="8" t="s">
        <v>100</v>
      </c>
      <c r="K23" s="33"/>
    </row>
    <row r="24" spans="1:18" x14ac:dyDescent="0.2">
      <c r="H24" s="21"/>
      <c r="I24" s="21" t="s">
        <v>10</v>
      </c>
      <c r="J24" s="21"/>
      <c r="K24" s="21"/>
      <c r="L24" s="17"/>
      <c r="M24" s="17" t="s">
        <v>68</v>
      </c>
      <c r="N24" s="17"/>
      <c r="O24" s="17"/>
      <c r="P24" s="17"/>
      <c r="Q24" s="22" t="s">
        <v>72</v>
      </c>
      <c r="R24" s="22"/>
    </row>
    <row r="25" spans="1:18" ht="64" x14ac:dyDescent="0.2">
      <c r="G25" t="s">
        <v>12</v>
      </c>
      <c r="H25" s="1" t="s">
        <v>7</v>
      </c>
      <c r="I25" s="1" t="s">
        <v>90</v>
      </c>
      <c r="J25" s="1" t="s">
        <v>91</v>
      </c>
      <c r="K25" s="4" t="s">
        <v>69</v>
      </c>
      <c r="L25" s="1" t="s">
        <v>67</v>
      </c>
      <c r="M25" s="1" t="s">
        <v>64</v>
      </c>
      <c r="N25" s="1" t="s">
        <v>66</v>
      </c>
      <c r="O25" s="1" t="s">
        <v>65</v>
      </c>
      <c r="P25" s="4" t="s">
        <v>9</v>
      </c>
      <c r="Q25" s="1" t="s">
        <v>70</v>
      </c>
      <c r="R25" s="1" t="s">
        <v>71</v>
      </c>
    </row>
    <row r="26" spans="1:18" ht="16" x14ac:dyDescent="0.2">
      <c r="B26" s="48"/>
      <c r="C26" s="47" t="s">
        <v>97</v>
      </c>
      <c r="D26" s="47" t="s">
        <v>98</v>
      </c>
      <c r="G26" s="1" t="s">
        <v>3</v>
      </c>
      <c r="H26" s="7">
        <v>23.3</v>
      </c>
      <c r="I26" s="15">
        <v>0</v>
      </c>
      <c r="J26" s="38">
        <v>0</v>
      </c>
      <c r="K26" s="39">
        <f>I26+J26</f>
        <v>0</v>
      </c>
      <c r="L26">
        <f>C15*H10-D15*H10</f>
        <v>15744</v>
      </c>
      <c r="M26" s="7">
        <v>192</v>
      </c>
      <c r="N26">
        <f>M26/1000000</f>
        <v>1.92E-4</v>
      </c>
      <c r="O26" s="7">
        <f>$H$20</f>
        <v>90</v>
      </c>
      <c r="P26" s="3">
        <f>L26*N26*O26</f>
        <v>272.05632000000003</v>
      </c>
      <c r="Q26" s="7">
        <f>0.012*0.59+0.031*0.41</f>
        <v>1.9789999999999999E-2</v>
      </c>
      <c r="R26">
        <f>L26*Q26</f>
        <v>311.57375999999999</v>
      </c>
    </row>
    <row r="27" spans="1:18" ht="16" x14ac:dyDescent="0.2">
      <c r="A27" s="3" t="s">
        <v>0</v>
      </c>
      <c r="B27" s="48" t="s">
        <v>14</v>
      </c>
      <c r="C27" s="26">
        <f>-10*D15</f>
        <v>-21040</v>
      </c>
      <c r="D27" s="26">
        <f>C27*$H$4/$H$19</f>
        <v>-25503030.303030305</v>
      </c>
      <c r="G27" s="1" t="s">
        <v>4</v>
      </c>
      <c r="H27" s="7">
        <v>14.4</v>
      </c>
      <c r="I27">
        <v>0</v>
      </c>
      <c r="J27" s="38">
        <f>0.5*(D16-C16)*(H15-H15)*H27</f>
        <v>0</v>
      </c>
      <c r="K27" s="39">
        <f>I27+J27</f>
        <v>0</v>
      </c>
      <c r="L27">
        <f>C16*H11-D16*H11</f>
        <v>-4164</v>
      </c>
      <c r="M27" s="7">
        <v>35</v>
      </c>
      <c r="N27">
        <f t="shared" ref="N27:N29" si="1">M27/1000000</f>
        <v>3.4999999999999997E-5</v>
      </c>
      <c r="O27" s="7">
        <f>$H$20</f>
        <v>90</v>
      </c>
      <c r="P27" s="3">
        <f>L27*N27*O27</f>
        <v>-13.116599999999998</v>
      </c>
      <c r="Q27">
        <v>0</v>
      </c>
      <c r="R27" s="19"/>
    </row>
    <row r="28" spans="1:18" ht="16" x14ac:dyDescent="0.2">
      <c r="B28" s="48" t="s">
        <v>2</v>
      </c>
      <c r="C28" s="26">
        <f>10*D15</f>
        <v>21040</v>
      </c>
      <c r="D28" s="26">
        <f>C28*$H$4/$H$19</f>
        <v>25503030.303030305</v>
      </c>
      <c r="G28" s="1" t="s">
        <v>6</v>
      </c>
      <c r="H28" s="18"/>
      <c r="I28" s="19"/>
      <c r="J28" s="20"/>
      <c r="K28" s="20"/>
      <c r="L28">
        <f>D17*H12-C17*H12</f>
        <v>790</v>
      </c>
      <c r="M28" s="7">
        <v>0</v>
      </c>
      <c r="N28">
        <f t="shared" si="1"/>
        <v>0</v>
      </c>
      <c r="O28" s="7">
        <f>$H$20</f>
        <v>90</v>
      </c>
      <c r="P28" s="3">
        <f>L28*N28*O28</f>
        <v>0</v>
      </c>
      <c r="Q28">
        <v>0</v>
      </c>
      <c r="R28" s="19"/>
    </row>
    <row r="29" spans="1:18" ht="16" x14ac:dyDescent="0.2">
      <c r="B29" s="48" t="s">
        <v>10</v>
      </c>
      <c r="C29" s="26">
        <f>SUM(K26:K29)</f>
        <v>0</v>
      </c>
      <c r="D29" s="26">
        <f>C29*$H$4/$H$19</f>
        <v>0</v>
      </c>
      <c r="G29" s="1" t="s">
        <v>5</v>
      </c>
      <c r="H29" s="18"/>
      <c r="I29" s="19"/>
      <c r="J29" s="19"/>
      <c r="K29" s="19"/>
      <c r="L29">
        <f>D18*H13-C18*H13</f>
        <v>150</v>
      </c>
      <c r="M29" s="7">
        <v>0</v>
      </c>
      <c r="N29">
        <f t="shared" si="1"/>
        <v>0</v>
      </c>
      <c r="O29" s="7">
        <f>$H$20</f>
        <v>90</v>
      </c>
      <c r="P29" s="3">
        <f>L29*M29*O29</f>
        <v>0</v>
      </c>
      <c r="Q29">
        <v>0</v>
      </c>
      <c r="R29" s="19"/>
    </row>
    <row r="30" spans="1:18" ht="16" x14ac:dyDescent="0.2">
      <c r="B30" s="48" t="s">
        <v>8</v>
      </c>
      <c r="C30" s="26">
        <f>SUM(P26:P29)</f>
        <v>258.93972000000002</v>
      </c>
      <c r="D30" s="26">
        <f>C30*$H$4/$H$19</f>
        <v>313866.32727272733</v>
      </c>
      <c r="G30" s="1"/>
      <c r="H30" s="18"/>
      <c r="I30" s="19"/>
      <c r="J30" s="19"/>
      <c r="K30" s="19"/>
      <c r="M30" s="7"/>
      <c r="O30" s="7"/>
      <c r="P30" s="3"/>
      <c r="R30" s="19"/>
    </row>
    <row r="31" spans="1:18" ht="16" x14ac:dyDescent="0.2">
      <c r="B31" s="48" t="s">
        <v>87</v>
      </c>
      <c r="C31" s="26">
        <f>SUM(R26:R29)</f>
        <v>311.57375999999999</v>
      </c>
      <c r="D31" s="26">
        <f>C31*$H$4/$H$19</f>
        <v>377665.16363636364</v>
      </c>
    </row>
    <row r="32" spans="1:18" ht="16" x14ac:dyDescent="0.2">
      <c r="B32" s="36" t="s">
        <v>11</v>
      </c>
      <c r="C32" s="40">
        <f>SUM(C27:C31)</f>
        <v>570.51348000000007</v>
      </c>
      <c r="D32" s="40">
        <f>SUM(D27:D31)</f>
        <v>691531.49090909096</v>
      </c>
    </row>
    <row r="33" spans="1:4" x14ac:dyDescent="0.2">
      <c r="B33" s="4"/>
      <c r="C33" s="5"/>
    </row>
    <row r="34" spans="1:4" ht="16" x14ac:dyDescent="0.2">
      <c r="A34" s="3" t="s">
        <v>89</v>
      </c>
      <c r="B34" s="4" t="s">
        <v>11</v>
      </c>
      <c r="C34" s="40">
        <f>C32*52</f>
        <v>29666.700960000002</v>
      </c>
      <c r="D34" s="40">
        <f>D32*52</f>
        <v>35959637.527272731</v>
      </c>
    </row>
    <row r="35" spans="1:4" ht="16" thickBot="1" x14ac:dyDescent="0.25">
      <c r="B35" s="1"/>
    </row>
    <row r="36" spans="1:4" x14ac:dyDescent="0.2">
      <c r="A36" s="56" t="s">
        <v>136</v>
      </c>
      <c r="B36" s="57">
        <f>SUM(C71:C131)</f>
        <v>4886975025.4223013</v>
      </c>
    </row>
    <row r="37" spans="1:4" ht="16" thickBot="1" x14ac:dyDescent="0.25">
      <c r="A37" s="58" t="s">
        <v>137</v>
      </c>
      <c r="B37" s="59">
        <f>SUM(B71:B131)</f>
        <v>1325135517.3131018</v>
      </c>
    </row>
    <row r="38" spans="1:4" x14ac:dyDescent="0.2">
      <c r="B38" s="1"/>
    </row>
    <row r="39" spans="1:4" x14ac:dyDescent="0.2">
      <c r="B39" s="1"/>
    </row>
    <row r="40" spans="1:4" x14ac:dyDescent="0.2">
      <c r="A40" s="43" t="s">
        <v>15</v>
      </c>
      <c r="B40" s="44">
        <f>B37/B36</f>
        <v>0.27115659695817496</v>
      </c>
      <c r="C40" s="8" t="s">
        <v>112</v>
      </c>
    </row>
    <row r="43" spans="1:4" x14ac:dyDescent="0.2">
      <c r="A43" s="3" t="s">
        <v>115</v>
      </c>
    </row>
    <row r="47" spans="1:4" x14ac:dyDescent="0.2">
      <c r="A47" s="3" t="s">
        <v>105</v>
      </c>
      <c r="B47" s="37" t="s">
        <v>103</v>
      </c>
      <c r="C47" s="37" t="s">
        <v>106</v>
      </c>
    </row>
    <row r="48" spans="1:4" x14ac:dyDescent="0.2">
      <c r="B48">
        <v>90</v>
      </c>
      <c r="C48" s="51">
        <f>B40</f>
        <v>0.27115659695817496</v>
      </c>
      <c r="D48" t="s">
        <v>108</v>
      </c>
    </row>
    <row r="49" spans="1:7" x14ac:dyDescent="0.2">
      <c r="B49">
        <v>50</v>
      </c>
      <c r="C49">
        <f t="dataTable" ref="C49:C50" dt2D="0" dtr="0" r1="H20"/>
        <v>0.21645872623574136</v>
      </c>
      <c r="D49" t="s">
        <v>107</v>
      </c>
    </row>
    <row r="50" spans="1:7" x14ac:dyDescent="0.2">
      <c r="B50">
        <v>185</v>
      </c>
      <c r="C50">
        <v>0.40106403992395434</v>
      </c>
      <c r="D50" t="s">
        <v>109</v>
      </c>
    </row>
    <row r="52" spans="1:7" x14ac:dyDescent="0.2">
      <c r="A52" s="3" t="s">
        <v>110</v>
      </c>
      <c r="B52" s="37" t="s">
        <v>111</v>
      </c>
      <c r="C52" s="37" t="s">
        <v>106</v>
      </c>
    </row>
    <row r="53" spans="1:7" x14ac:dyDescent="0.2">
      <c r="B53" s="49">
        <v>0.1</v>
      </c>
      <c r="C53" s="51">
        <f>B40</f>
        <v>0.27115659695817496</v>
      </c>
    </row>
    <row r="54" spans="1:7" x14ac:dyDescent="0.2">
      <c r="B54" s="49">
        <v>0.05</v>
      </c>
      <c r="C54">
        <f t="dataTable" ref="C54:C57" dt2D="0" dtr="0" r1="H7" ca="1"/>
        <v>0.54231319391634991</v>
      </c>
    </row>
    <row r="55" spans="1:7" x14ac:dyDescent="0.2">
      <c r="B55" s="49">
        <v>0.15</v>
      </c>
      <c r="C55">
        <v>0.18077106463878342</v>
      </c>
    </row>
    <row r="56" spans="1:7" x14ac:dyDescent="0.2">
      <c r="B56" s="49">
        <v>0.25</v>
      </c>
      <c r="C56">
        <v>0.10846263878327005</v>
      </c>
    </row>
    <row r="57" spans="1:7" x14ac:dyDescent="0.2">
      <c r="B57" s="49">
        <v>0.5</v>
      </c>
      <c r="C57">
        <v>5.4231319391635023E-2</v>
      </c>
    </row>
    <row r="59" spans="1:7" x14ac:dyDescent="0.2">
      <c r="A59" t="s">
        <v>113</v>
      </c>
      <c r="E59" s="3" t="s">
        <v>105</v>
      </c>
    </row>
    <row r="60" spans="1:7" x14ac:dyDescent="0.2">
      <c r="D60" s="51">
        <f>B40</f>
        <v>0.27115659695817496</v>
      </c>
      <c r="E60" s="7">
        <v>90</v>
      </c>
      <c r="F60" s="7">
        <v>0</v>
      </c>
      <c r="G60" s="7">
        <v>180</v>
      </c>
    </row>
    <row r="61" spans="1:7" x14ac:dyDescent="0.2">
      <c r="A61" t="s">
        <v>119</v>
      </c>
      <c r="B61" s="3" t="s">
        <v>114</v>
      </c>
      <c r="C61" s="8" t="s">
        <v>118</v>
      </c>
      <c r="D61" s="7">
        <v>1.9789999999999999E-2</v>
      </c>
      <c r="E61">
        <f t="dataTable" ref="E61:G63" dt2D="1" dtr="1" r1="H20" r2="Q26" ca="1"/>
        <v>0.27115659695817496</v>
      </c>
      <c r="F61">
        <v>0.14808638783269956</v>
      </c>
      <c r="G61">
        <v>0.39422680608365013</v>
      </c>
    </row>
    <row r="62" spans="1:7" x14ac:dyDescent="0.2">
      <c r="C62" s="8" t="s">
        <v>116</v>
      </c>
      <c r="D62" s="7">
        <v>1.2E-2</v>
      </c>
      <c r="E62">
        <v>0.21286488593155897</v>
      </c>
      <c r="F62">
        <v>8.9794676806083579E-2</v>
      </c>
      <c r="G62">
        <v>0.33593509505703412</v>
      </c>
    </row>
    <row r="63" spans="1:7" x14ac:dyDescent="0.2">
      <c r="B63" s="51"/>
      <c r="C63" s="8" t="s">
        <v>117</v>
      </c>
      <c r="D63" s="7">
        <v>3.1E-2</v>
      </c>
      <c r="E63">
        <v>0.35503979087452447</v>
      </c>
      <c r="F63">
        <v>0.23196958174904936</v>
      </c>
      <c r="G63">
        <v>0.47810999999999987</v>
      </c>
    </row>
    <row r="66" spans="1:3" x14ac:dyDescent="0.2">
      <c r="A66" s="54" t="s">
        <v>133</v>
      </c>
    </row>
    <row r="67" spans="1:3" x14ac:dyDescent="0.2">
      <c r="A67" t="s">
        <v>134</v>
      </c>
      <c r="B67" s="55">
        <f>H2</f>
        <v>6.1500000000000001E-3</v>
      </c>
    </row>
    <row r="68" spans="1:3" x14ac:dyDescent="0.2">
      <c r="A68" t="s">
        <v>123</v>
      </c>
      <c r="B68" s="55">
        <f>H3</f>
        <v>2.5000000000000001E-2</v>
      </c>
    </row>
    <row r="70" spans="1:3" x14ac:dyDescent="0.2">
      <c r="A70" s="47" t="s">
        <v>79</v>
      </c>
      <c r="B70" s="47" t="s">
        <v>135</v>
      </c>
      <c r="C70" s="47" t="s">
        <v>22</v>
      </c>
    </row>
    <row r="71" spans="1:3" x14ac:dyDescent="0.2">
      <c r="A71">
        <v>0</v>
      </c>
      <c r="B71" s="26">
        <f>$D$34*(1+$B$68)^-A71*(1+$B$67)^A71</f>
        <v>35959637.527272731</v>
      </c>
      <c r="C71" s="26">
        <f>$C$11*(1+$B$68)^-A71*(1+$B$67)^A71</f>
        <v>132615757.57575759</v>
      </c>
    </row>
    <row r="72" spans="1:3" x14ac:dyDescent="0.2">
      <c r="A72">
        <f>A71+1</f>
        <v>1</v>
      </c>
      <c r="B72" s="26">
        <f t="shared" ref="B72:B130" si="2">$D$34*(1+$B$68)^-A72*(1+$B$67)^A72</f>
        <v>35298331.022502892</v>
      </c>
      <c r="C72" s="26">
        <f t="shared" ref="C72:C131" si="3">$C$11*(1+$B$68)^-A72*(1+$B$67)^A72</f>
        <v>130176921.44863272</v>
      </c>
    </row>
    <row r="73" spans="1:3" x14ac:dyDescent="0.2">
      <c r="A73">
        <f t="shared" ref="A73:A131" si="4">A72+1</f>
        <v>2</v>
      </c>
      <c r="B73" s="26">
        <f t="shared" si="2"/>
        <v>34649186.105650038</v>
      </c>
      <c r="C73" s="26">
        <f t="shared" si="3"/>
        <v>127782936.11272371</v>
      </c>
    </row>
    <row r="74" spans="1:3" x14ac:dyDescent="0.2">
      <c r="A74">
        <f t="shared" si="4"/>
        <v>3</v>
      </c>
      <c r="B74" s="26">
        <f t="shared" si="2"/>
        <v>34011979.12214613</v>
      </c>
      <c r="C74" s="26">
        <f t="shared" si="3"/>
        <v>125432976.75104095</v>
      </c>
    </row>
    <row r="75" spans="1:3" x14ac:dyDescent="0.2">
      <c r="A75">
        <f t="shared" si="4"/>
        <v>4</v>
      </c>
      <c r="B75" s="26">
        <f t="shared" si="2"/>
        <v>33386490.530485213</v>
      </c>
      <c r="C75" s="26">
        <f t="shared" si="3"/>
        <v>123126233.71518038</v>
      </c>
    </row>
    <row r="76" spans="1:3" x14ac:dyDescent="0.2">
      <c r="A76">
        <f t="shared" si="4"/>
        <v>5</v>
      </c>
      <c r="B76" s="26">
        <f t="shared" si="2"/>
        <v>32772504.826583117</v>
      </c>
      <c r="C76" s="26">
        <f t="shared" si="3"/>
        <v>120861912.2463695</v>
      </c>
    </row>
    <row r="77" spans="1:3" x14ac:dyDescent="0.2">
      <c r="A77">
        <f t="shared" si="4"/>
        <v>6</v>
      </c>
      <c r="B77" s="26">
        <f t="shared" si="2"/>
        <v>32169810.469528399</v>
      </c>
      <c r="C77" s="26">
        <f t="shared" si="3"/>
        <v>118639232.2016436</v>
      </c>
    </row>
    <row r="78" spans="1:3" x14ac:dyDescent="0.2">
      <c r="A78">
        <f t="shared" si="4"/>
        <v>7</v>
      </c>
      <c r="B78" s="26">
        <f t="shared" si="2"/>
        <v>31578199.808698539</v>
      </c>
      <c r="C78" s="26">
        <f t="shared" si="3"/>
        <v>116457427.78505729</v>
      </c>
    </row>
    <row r="79" spans="1:3" x14ac:dyDescent="0.2">
      <c r="A79">
        <f t="shared" si="4"/>
        <v>8</v>
      </c>
      <c r="B79" s="26">
        <f t="shared" si="2"/>
        <v>30997469.012216624</v>
      </c>
      <c r="C79" s="26">
        <f t="shared" si="3"/>
        <v>114315747.28383943</v>
      </c>
    </row>
    <row r="80" spans="1:3" x14ac:dyDescent="0.2">
      <c r="A80">
        <f t="shared" si="4"/>
        <v>9</v>
      </c>
      <c r="B80" s="26">
        <f t="shared" si="2"/>
        <v>30427417.996723674</v>
      </c>
      <c r="C80" s="26">
        <f t="shared" si="3"/>
        <v>112213452.80940007</v>
      </c>
    </row>
    <row r="81" spans="1:3" x14ac:dyDescent="0.2">
      <c r="A81">
        <f t="shared" si="4"/>
        <v>10</v>
      </c>
      <c r="B81" s="26">
        <f t="shared" si="2"/>
        <v>29867850.358442467</v>
      </c>
      <c r="C81" s="26">
        <f t="shared" si="3"/>
        <v>110149820.04310037</v>
      </c>
    </row>
    <row r="82" spans="1:3" x14ac:dyDescent="0.2">
      <c r="A82">
        <f t="shared" si="4"/>
        <v>11</v>
      </c>
      <c r="B82" s="26">
        <f t="shared" si="2"/>
        <v>29318573.305509154</v>
      </c>
      <c r="C82" s="26">
        <f t="shared" si="3"/>
        <v>108124137.98669799</v>
      </c>
    </row>
    <row r="83" spans="1:3" x14ac:dyDescent="0.2">
      <c r="A83">
        <f t="shared" si="4"/>
        <v>12</v>
      </c>
      <c r="B83" s="26">
        <f t="shared" si="2"/>
        <v>28779397.591549315</v>
      </c>
      <c r="C83" s="26">
        <f t="shared" si="3"/>
        <v>106135708.71738169</v>
      </c>
    </row>
    <row r="84" spans="1:3" x14ac:dyDescent="0.2">
      <c r="A84">
        <f t="shared" si="4"/>
        <v>13</v>
      </c>
      <c r="B84" s="26">
        <f t="shared" si="2"/>
        <v>28250137.450475451</v>
      </c>
      <c r="C84" s="26">
        <f t="shared" si="3"/>
        <v>104183847.14731079</v>
      </c>
    </row>
    <row r="85" spans="1:3" x14ac:dyDescent="0.2">
      <c r="A85">
        <f t="shared" si="4"/>
        <v>14</v>
      </c>
      <c r="B85" s="26">
        <f t="shared" si="2"/>
        <v>27730610.532483794</v>
      </c>
      <c r="C85" s="26">
        <f t="shared" si="3"/>
        <v>102267880.78757736</v>
      </c>
    </row>
    <row r="86" spans="1:3" x14ac:dyDescent="0.2">
      <c r="A86">
        <f t="shared" si="4"/>
        <v>15</v>
      </c>
      <c r="B86" s="26">
        <f t="shared" si="2"/>
        <v>27220637.841227867</v>
      </c>
      <c r="C86" s="26">
        <f t="shared" si="3"/>
        <v>100387149.51650824</v>
      </c>
    </row>
    <row r="87" spans="1:3" x14ac:dyDescent="0.2">
      <c r="A87">
        <f t="shared" si="4"/>
        <v>16</v>
      </c>
      <c r="B87" s="26">
        <f t="shared" si="2"/>
        <v>26720043.672147729</v>
      </c>
      <c r="C87" s="26">
        <f t="shared" si="3"/>
        <v>98541005.352229044</v>
      </c>
    </row>
    <row r="88" spans="1:3" x14ac:dyDescent="0.2">
      <c r="A88">
        <f t="shared" si="4"/>
        <v>17</v>
      </c>
      <c r="B88" s="26">
        <f t="shared" si="2"/>
        <v>26228655.551933117</v>
      </c>
      <c r="C88" s="26">
        <f t="shared" si="3"/>
        <v>96728812.229410037</v>
      </c>
    </row>
    <row r="89" spans="1:3" x14ac:dyDescent="0.2">
      <c r="A89">
        <f t="shared" si="4"/>
        <v>18</v>
      </c>
      <c r="B89" s="26">
        <f t="shared" si="2"/>
        <v>25746304.179099999</v>
      </c>
      <c r="C89" s="26">
        <f t="shared" si="3"/>
        <v>94949945.780117944</v>
      </c>
    </row>
    <row r="90" spans="1:3" x14ac:dyDescent="0.2">
      <c r="A90">
        <f t="shared" si="4"/>
        <v>19</v>
      </c>
      <c r="B90" s="26">
        <f t="shared" si="2"/>
        <v>25272823.365659971</v>
      </c>
      <c r="C90" s="26">
        <f t="shared" si="3"/>
        <v>93203793.118698224</v>
      </c>
    </row>
    <row r="91" spans="1:3" x14ac:dyDescent="0.2">
      <c r="A91">
        <f t="shared" si="4"/>
        <v>20</v>
      </c>
      <c r="B91" s="26">
        <f t="shared" si="2"/>
        <v>24808049.979862232</v>
      </c>
      <c r="C91" s="26">
        <f t="shared" si="3"/>
        <v>91489752.630612925</v>
      </c>
    </row>
    <row r="92" spans="1:3" x14ac:dyDescent="0.2">
      <c r="A92">
        <f t="shared" si="4"/>
        <v>21</v>
      </c>
      <c r="B92" s="26">
        <f t="shared" si="2"/>
        <v>24351823.889988668</v>
      </c>
      <c r="C92" s="26">
        <f t="shared" si="3"/>
        <v>89807233.765162155</v>
      </c>
    </row>
    <row r="93" spans="1:3" x14ac:dyDescent="0.2">
      <c r="A93">
        <f t="shared" si="4"/>
        <v>22</v>
      </c>
      <c r="B93" s="26">
        <f t="shared" si="2"/>
        <v>23903987.909182541</v>
      </c>
      <c r="C93" s="26">
        <f t="shared" si="3"/>
        <v>88155656.832017466</v>
      </c>
    </row>
    <row r="94" spans="1:3" x14ac:dyDescent="0.2">
      <c r="A94">
        <f t="shared" si="4"/>
        <v>23</v>
      </c>
      <c r="B94" s="26">
        <f t="shared" si="2"/>
        <v>23464387.741291724</v>
      </c>
      <c r="C94" s="26">
        <f t="shared" si="3"/>
        <v>86534452.801496983</v>
      </c>
    </row>
    <row r="95" spans="1:3" x14ac:dyDescent="0.2">
      <c r="A95">
        <f t="shared" si="4"/>
        <v>24</v>
      </c>
      <c r="B95" s="26">
        <f t="shared" si="2"/>
        <v>23032871.92770797</v>
      </c>
      <c r="C95" s="26">
        <f t="shared" si="3"/>
        <v>84943063.108513355</v>
      </c>
    </row>
    <row r="96" spans="1:3" x14ac:dyDescent="0.2">
      <c r="A96">
        <f t="shared" si="4"/>
        <v>25</v>
      </c>
      <c r="B96" s="26">
        <f t="shared" si="2"/>
        <v>22609291.795183785</v>
      </c>
      <c r="C96" s="26">
        <f t="shared" si="3"/>
        <v>83380939.460127518</v>
      </c>
    </row>
    <row r="97" spans="1:3" x14ac:dyDescent="0.2">
      <c r="A97">
        <f t="shared" si="4"/>
        <v>26</v>
      </c>
      <c r="B97" s="26">
        <f t="shared" si="2"/>
        <v>22193501.404608946</v>
      </c>
      <c r="C97" s="26">
        <f t="shared" si="3"/>
        <v>81847543.646641314</v>
      </c>
    </row>
    <row r="98" spans="1:3" x14ac:dyDescent="0.2">
      <c r="A98">
        <f t="shared" si="4"/>
        <v>27</v>
      </c>
      <c r="B98" s="26">
        <f t="shared" si="2"/>
        <v>21785357.500729062</v>
      </c>
      <c r="C98" s="26">
        <f t="shared" si="3"/>
        <v>80342347.356164038</v>
      </c>
    </row>
    <row r="99" spans="1:3" x14ac:dyDescent="0.2">
      <c r="A99">
        <f t="shared" si="4"/>
        <v>28</v>
      </c>
      <c r="B99" s="26">
        <f t="shared" si="2"/>
        <v>21384719.462788835</v>
      </c>
      <c r="C99" s="26">
        <f t="shared" si="3"/>
        <v>78864831.992589742</v>
      </c>
    </row>
    <row r="100" spans="1:3" x14ac:dyDescent="0.2">
      <c r="A100">
        <f t="shared" si="4"/>
        <v>29</v>
      </c>
      <c r="B100" s="26">
        <f>$D$34*(1+$B$68)^-A100*(1+$B$67)^A100</f>
        <v>20991449.256082904</v>
      </c>
      <c r="C100" s="26">
        <f t="shared" si="3"/>
        <v>77414488.496921107</v>
      </c>
    </row>
    <row r="101" spans="1:3" x14ac:dyDescent="0.2">
      <c r="A101">
        <f t="shared" si="4"/>
        <v>30</v>
      </c>
      <c r="B101" s="26">
        <f t="shared" si="2"/>
        <v>20605411.384397879</v>
      </c>
      <c r="C101" s="26">
        <f t="shared" si="3"/>
        <v>75990817.171880215</v>
      </c>
    </row>
    <row r="102" spans="1:3" x14ac:dyDescent="0.2">
      <c r="A102">
        <f t="shared" si="4"/>
        <v>31</v>
      </c>
      <c r="B102" s="26">
        <f t="shared" si="2"/>
        <v>20226472.843328703</v>
      </c>
      <c r="C102" s="26">
        <f t="shared" si="3"/>
        <v>74593327.509743661</v>
      </c>
    </row>
    <row r="103" spans="1:3" x14ac:dyDescent="0.2">
      <c r="A103">
        <f t="shared" si="4"/>
        <v>32</v>
      </c>
      <c r="B103" s="26">
        <f t="shared" si="2"/>
        <v>19854503.074453834</v>
      </c>
      <c r="C103" s="26">
        <f t="shared" si="3"/>
        <v>73221538.023344979</v>
      </c>
    </row>
    <row r="104" spans="1:3" x14ac:dyDescent="0.2">
      <c r="A104">
        <f t="shared" si="4"/>
        <v>33</v>
      </c>
      <c r="B104" s="26">
        <f t="shared" si="2"/>
        <v>19489373.92035291</v>
      </c>
      <c r="C104" s="26">
        <f t="shared" si="3"/>
        <v>71874976.080183983</v>
      </c>
    </row>
    <row r="105" spans="1:3" x14ac:dyDescent="0.2">
      <c r="A105">
        <f t="shared" si="4"/>
        <v>34</v>
      </c>
      <c r="B105" s="26">
        <f t="shared" si="2"/>
        <v>19130959.580451787</v>
      </c>
      <c r="C105" s="26">
        <f t="shared" si="3"/>
        <v>70553177.739587426</v>
      </c>
    </row>
    <row r="106" spans="1:3" x14ac:dyDescent="0.2">
      <c r="A106">
        <f t="shared" si="4"/>
        <v>35</v>
      </c>
      <c r="B106" s="26">
        <f t="shared" si="2"/>
        <v>18779136.567679577</v>
      </c>
      <c r="C106" s="26">
        <f t="shared" si="3"/>
        <v>69255687.59286429</v>
      </c>
    </row>
    <row r="107" spans="1:3" x14ac:dyDescent="0.2">
      <c r="A107">
        <f t="shared" si="4"/>
        <v>36</v>
      </c>
      <c r="B107" s="26">
        <f t="shared" si="2"/>
        <v>18433783.665922739</v>
      </c>
      <c r="C107" s="26">
        <f t="shared" si="3"/>
        <v>67982058.6064004</v>
      </c>
    </row>
    <row r="108" spans="1:3" x14ac:dyDescent="0.2">
      <c r="A108">
        <f t="shared" si="4"/>
        <v>37</v>
      </c>
      <c r="B108" s="26">
        <f t="shared" si="2"/>
        <v>18094781.888261624</v>
      </c>
      <c r="C108" s="26">
        <f t="shared" si="3"/>
        <v>66731851.967638798</v>
      </c>
    </row>
    <row r="109" spans="1:3" x14ac:dyDescent="0.2">
      <c r="A109">
        <f t="shared" si="4"/>
        <v>38</v>
      </c>
      <c r="B109" s="26">
        <f t="shared" si="2"/>
        <v>17762014.435975064</v>
      </c>
      <c r="C109" s="26">
        <f t="shared" si="3"/>
        <v>65504636.933892503</v>
      </c>
    </row>
    <row r="110" spans="1:3" x14ac:dyDescent="0.2">
      <c r="A110">
        <f>A109+1</f>
        <v>39</v>
      </c>
      <c r="B110" s="26">
        <f t="shared" si="2"/>
        <v>17435366.658298839</v>
      </c>
      <c r="C110" s="26">
        <f t="shared" si="3"/>
        <v>64299990.68393749</v>
      </c>
    </row>
    <row r="111" spans="1:3" x14ac:dyDescent="0.2">
      <c r="A111">
        <f t="shared" si="4"/>
        <v>40</v>
      </c>
      <c r="B111" s="26">
        <f t="shared" si="2"/>
        <v>17114726.012924273</v>
      </c>
      <c r="C111" s="26">
        <f t="shared" si="3"/>
        <v>63117498.172335342</v>
      </c>
    </row>
    <row r="112" spans="1:3" x14ac:dyDescent="0.2">
      <c r="A112">
        <f t="shared" si="4"/>
        <v>41</v>
      </c>
      <c r="B112" s="26">
        <f t="shared" si="2"/>
        <v>16799982.027223181</v>
      </c>
      <c r="C112" s="26">
        <f t="shared" si="3"/>
        <v>61956751.986434348</v>
      </c>
    </row>
    <row r="113" spans="1:3" x14ac:dyDescent="0.2">
      <c r="A113">
        <f t="shared" si="4"/>
        <v>42</v>
      </c>
      <c r="B113" s="26">
        <f t="shared" si="2"/>
        <v>16491026.260185955</v>
      </c>
      <c r="C113" s="26">
        <f t="shared" si="3"/>
        <v>60817352.206000909</v>
      </c>
    </row>
    <row r="114" spans="1:3" x14ac:dyDescent="0.2">
      <c r="A114">
        <f t="shared" si="4"/>
        <v>43</v>
      </c>
      <c r="B114" s="26">
        <f t="shared" si="2"/>
        <v>16187752.265059607</v>
      </c>
      <c r="C114" s="26">
        <f t="shared" si="3"/>
        <v>59698906.265431993</v>
      </c>
    </row>
    <row r="115" spans="1:3" x14ac:dyDescent="0.2">
      <c r="A115">
        <f t="shared" si="4"/>
        <v>44</v>
      </c>
      <c r="B115" s="26">
        <f t="shared" si="2"/>
        <v>15890055.552672913</v>
      </c>
      <c r="C115" s="26">
        <f t="shared" si="3"/>
        <v>58601028.818501905</v>
      </c>
    </row>
    <row r="116" spans="1:3" x14ac:dyDescent="0.2">
      <c r="A116">
        <f t="shared" si="4"/>
        <v>45</v>
      </c>
      <c r="B116" s="26">
        <f t="shared" si="2"/>
        <v>15597833.555435946</v>
      </c>
      <c r="C116" s="26">
        <f t="shared" si="3"/>
        <v>57523341.605595782</v>
      </c>
    </row>
    <row r="117" spans="1:3" x14ac:dyDescent="0.2">
      <c r="A117">
        <f t="shared" si="4"/>
        <v>46</v>
      </c>
      <c r="B117" s="26">
        <f t="shared" si="2"/>
        <v>15310985.592001837</v>
      </c>
      <c r="C117" s="26">
        <f t="shared" si="3"/>
        <v>56465473.323385566</v>
      </c>
    </row>
    <row r="118" spans="1:3" x14ac:dyDescent="0.2">
      <c r="A118">
        <f t="shared" si="4"/>
        <v>47</v>
      </c>
      <c r="B118" s="26">
        <f t="shared" si="2"/>
        <v>15029412.832578193</v>
      </c>
      <c r="C118" s="26">
        <f t="shared" si="3"/>
        <v>55427059.49690184</v>
      </c>
    </row>
    <row r="119" spans="1:3" x14ac:dyDescent="0.2">
      <c r="A119">
        <f t="shared" si="4"/>
        <v>48</v>
      </c>
      <c r="B119" s="26">
        <f t="shared" si="2"/>
        <v>14753018.264876636</v>
      </c>
      <c r="C119" s="26">
        <f t="shared" si="3"/>
        <v>54407742.353958823</v>
      </c>
    </row>
    <row r="120" spans="1:3" x14ac:dyDescent="0.2">
      <c r="A120">
        <f t="shared" si="4"/>
        <v>49</v>
      </c>
      <c r="B120" s="26">
        <f t="shared" si="2"/>
        <v>14481706.660688419</v>
      </c>
      <c r="C120" s="26">
        <f t="shared" si="3"/>
        <v>53407170.701888472</v>
      </c>
    </row>
    <row r="121" spans="1:3" x14ac:dyDescent="0.2">
      <c r="A121">
        <f t="shared" si="4"/>
        <v>50</v>
      </c>
      <c r="B121" s="26">
        <f t="shared" si="2"/>
        <v>14215384.543074783</v>
      </c>
      <c r="C121" s="26">
        <f t="shared" si="3"/>
        <v>52424999.806541555</v>
      </c>
    </row>
    <row r="122" spans="1:3" x14ac:dyDescent="0.2">
      <c r="A122">
        <f>A121+1</f>
        <v>51</v>
      </c>
      <c r="B122" s="26">
        <f t="shared" si="2"/>
        <v>13953960.154160677</v>
      </c>
      <c r="C122" s="26">
        <f t="shared" si="3"/>
        <v>51460891.273513928</v>
      </c>
    </row>
    <row r="123" spans="1:3" x14ac:dyDescent="0.2">
      <c r="A123">
        <f t="shared" si="4"/>
        <v>52</v>
      </c>
      <c r="B123" s="26">
        <f>$D$34*(1+$B$68)^-A123*(1+$B$67)^A123</f>
        <v>13697343.423520749</v>
      </c>
      <c r="C123" s="26">
        <f t="shared" si="3"/>
        <v>50514512.931557126</v>
      </c>
    </row>
    <row r="124" spans="1:3" x14ac:dyDescent="0.2">
      <c r="A124">
        <f t="shared" si="4"/>
        <v>53</v>
      </c>
      <c r="B124" s="26">
        <f t="shared" si="2"/>
        <v>13445445.937146734</v>
      </c>
      <c r="C124" s="26">
        <f t="shared" si="3"/>
        <v>49585538.718132883</v>
      </c>
    </row>
    <row r="125" spans="1:3" x14ac:dyDescent="0.2">
      <c r="A125">
        <f t="shared" si="4"/>
        <v>54</v>
      </c>
      <c r="B125" s="26">
        <f t="shared" si="2"/>
        <v>13198180.906985551</v>
      </c>
      <c r="C125" s="26">
        <f t="shared" si="3"/>
        <v>48673648.567072593</v>
      </c>
    </row>
    <row r="126" spans="1:3" x14ac:dyDescent="0.2">
      <c r="A126">
        <f t="shared" si="4"/>
        <v>55</v>
      </c>
      <c r="B126" s="26">
        <f t="shared" si="2"/>
        <v>12955463.141037574</v>
      </c>
      <c r="C126" s="26">
        <f t="shared" si="3"/>
        <v>47778528.298302531</v>
      </c>
    </row>
    <row r="127" spans="1:3" x14ac:dyDescent="0.2">
      <c r="A127">
        <f t="shared" si="4"/>
        <v>56</v>
      </c>
      <c r="B127" s="26">
        <f t="shared" si="2"/>
        <v>12717209.014004838</v>
      </c>
      <c r="C127" s="26">
        <f t="shared" si="3"/>
        <v>46899869.509597175</v>
      </c>
    </row>
    <row r="128" spans="1:3" x14ac:dyDescent="0.2">
      <c r="A128">
        <f t="shared" si="4"/>
        <v>57</v>
      </c>
      <c r="B128" s="26">
        <f t="shared" si="2"/>
        <v>12483336.438478993</v>
      </c>
      <c r="C128" s="26">
        <f t="shared" si="3"/>
        <v>46037369.470323123</v>
      </c>
    </row>
    <row r="129" spans="1:3" x14ac:dyDescent="0.2">
      <c r="A129">
        <f>A128+1</f>
        <v>58</v>
      </c>
      <c r="B129" s="26">
        <f t="shared" si="2"/>
        <v>12253764.836659163</v>
      </c>
      <c r="C129" s="26">
        <f t="shared" si="3"/>
        <v>45190731.017137192</v>
      </c>
    </row>
    <row r="130" spans="1:3" x14ac:dyDescent="0.2">
      <c r="A130">
        <f t="shared" si="4"/>
        <v>59</v>
      </c>
      <c r="B130" s="26">
        <f t="shared" si="2"/>
        <v>12028415.112589866</v>
      </c>
      <c r="C130" s="26">
        <f t="shared" si="3"/>
        <v>44359662.451602511</v>
      </c>
    </row>
    <row r="131" spans="1:3" x14ac:dyDescent="0.2">
      <c r="A131">
        <f t="shared" si="4"/>
        <v>60</v>
      </c>
      <c r="B131" s="26">
        <f>$D$34*(1+$B$68)^-A131*(1+$B$67)^A131</f>
        <v>11807209.624909563</v>
      </c>
      <c r="C131" s="26">
        <f t="shared" si="3"/>
        <v>43543877.439687699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Heinonen  Sanelma</cp:lastModifiedBy>
  <dcterms:created xsi:type="dcterms:W3CDTF">2022-12-09T07:28:57Z</dcterms:created>
  <dcterms:modified xsi:type="dcterms:W3CDTF">2022-12-21T09:47:50Z</dcterms:modified>
</cp:coreProperties>
</file>