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elmaheinonen/Downloads/"/>
    </mc:Choice>
  </mc:AlternateContent>
  <xr:revisionPtr revIDLastSave="0" documentId="13_ncr:1_{501E232B-8C18-FA4B-ADD2-30B1BD64FF09}" xr6:coauthVersionLast="47" xr6:coauthVersionMax="47" xr10:uidLastSave="{00000000-0000-0000-0000-000000000000}"/>
  <bookViews>
    <workbookView xWindow="0" yWindow="500" windowWidth="28680" windowHeight="16460" activeTab="1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D30" i="2"/>
  <c r="C30" i="2"/>
  <c r="C7" i="2"/>
  <c r="C5" i="2"/>
  <c r="C4" i="2"/>
  <c r="C3" i="2"/>
  <c r="C23" i="2"/>
  <c r="D28" i="2"/>
  <c r="D24" i="2"/>
  <c r="D25" i="2"/>
  <c r="D26" i="2"/>
  <c r="D27" i="2"/>
  <c r="D23" i="2"/>
  <c r="L22" i="2"/>
  <c r="C27" i="2"/>
  <c r="C26" i="2"/>
  <c r="C25" i="2"/>
  <c r="C24" i="2"/>
  <c r="J38" i="1"/>
  <c r="B115" i="1"/>
  <c r="B116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7" i="1"/>
  <c r="B58" i="1"/>
  <c r="B59" i="1"/>
  <c r="B60" i="1"/>
  <c r="B61" i="1"/>
  <c r="B62" i="1"/>
  <c r="B63" i="1"/>
  <c r="B64" i="1"/>
  <c r="B65" i="1"/>
  <c r="B66" i="1"/>
  <c r="B56" i="1"/>
  <c r="D43" i="1"/>
  <c r="C43" i="1"/>
  <c r="D38" i="1"/>
  <c r="D39" i="1"/>
  <c r="D40" i="1"/>
  <c r="D41" i="1"/>
  <c r="D37" i="1"/>
  <c r="C41" i="1"/>
  <c r="C39" i="1"/>
  <c r="C38" i="1"/>
  <c r="C37" i="1"/>
  <c r="L23" i="2"/>
  <c r="K22" i="2"/>
  <c r="J23" i="2"/>
  <c r="K23" i="2" s="1"/>
  <c r="B54" i="1"/>
  <c r="K37" i="1"/>
  <c r="L25" i="2"/>
  <c r="P25" i="2" s="1"/>
  <c r="L24" i="2"/>
  <c r="N25" i="2"/>
  <c r="N24" i="2"/>
  <c r="N23" i="2"/>
  <c r="Q22" i="2"/>
  <c r="N22" i="2"/>
  <c r="D15" i="2"/>
  <c r="C15" i="2"/>
  <c r="D45" i="1" l="1"/>
  <c r="R22" i="2"/>
  <c r="P23" i="2"/>
  <c r="P24" i="2"/>
  <c r="P22" i="2"/>
  <c r="C28" i="2" l="1"/>
  <c r="L38" i="1"/>
  <c r="L37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53" i="1"/>
  <c r="C30" i="1"/>
  <c r="C31" i="1" s="1"/>
  <c r="L40" i="1"/>
  <c r="P40" i="1" s="1"/>
  <c r="Q37" i="1"/>
  <c r="N38" i="1"/>
  <c r="N39" i="1"/>
  <c r="N40" i="1"/>
  <c r="N37" i="1"/>
  <c r="H25" i="1"/>
  <c r="D7" i="1"/>
  <c r="D15" i="1" s="1"/>
  <c r="D10" i="1"/>
  <c r="D9" i="1"/>
  <c r="D8" i="1"/>
  <c r="D16" i="1" s="1"/>
  <c r="D6" i="1"/>
  <c r="D5" i="1"/>
  <c r="P37" i="1" l="1"/>
  <c r="I38" i="1"/>
  <c r="D30" i="1"/>
  <c r="D31" i="1" s="1"/>
  <c r="L39" i="1"/>
  <c r="P39" i="1" s="1"/>
  <c r="R37" i="1"/>
  <c r="P38" i="1"/>
  <c r="D17" i="1"/>
  <c r="D11" i="1"/>
  <c r="K38" i="1" l="1"/>
  <c r="D19" i="1"/>
  <c r="D20" i="1"/>
  <c r="D22" i="1" l="1"/>
  <c r="B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G29" authorId="0" shapeId="0" xr:uid="{3A46DA4D-B48F-A54A-9FCC-CE416B01D5D8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official swiss population scenario estimates 2020 and 2050, assuming a constant growth rate</t>
        </r>
      </text>
    </comment>
    <comment ref="M36" authorId="0" shapeId="0" xr:uid="{5366BF98-3C0A-AF46-932A-978CDA55C852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36" authorId="0" shapeId="0" xr:uid="{5319E284-87E2-964D-B281-43173BB5DA9F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36" authorId="0" shapeId="0" xr:uid="{FAC1B5DC-DDE7-1E47-8E75-BB508C6A80F3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M21" authorId="0" shapeId="0" xr:uid="{FFC213B8-785A-9245-B331-3D07429FD761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21" authorId="0" shapeId="0" xr:uid="{482EA1DD-0C12-154A-9271-9F30C0517CFD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21" authorId="0" shapeId="0" xr:uid="{7D0ECDC4-038D-9540-AF8A-68B4DAE10E7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sharedStrings.xml><?xml version="1.0" encoding="utf-8"?>
<sst xmlns="http://schemas.openxmlformats.org/spreadsheetml/2006/main" count="158" uniqueCount="104">
  <si>
    <t>Weekly 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</si>
  <si>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</si>
  <si>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</si>
  <si>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</si>
  <si>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</si>
  <si>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</si>
  <si>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</si>
  <si>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</si>
  <si>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Emissions reductions savings</t>
  </si>
  <si>
    <t>Emissions reductions savings (CHF)</t>
  </si>
  <si>
    <t>Travel time savings</t>
  </si>
  <si>
    <t>Total</t>
  </si>
  <si>
    <t>Mode:</t>
  </si>
  <si>
    <t>Length of tunnel (m)</t>
  </si>
  <si>
    <t>Cost of tax to drivers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</si>
  <si>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</si>
  <si>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</si>
  <si>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</si>
  <si>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</si>
  <si>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</si>
  <si>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</si>
  <si>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</si>
  <si>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</si>
  <si>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</si>
  <si>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</si>
  <si>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</si>
  <si>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Annual discount rate</t>
  </si>
  <si>
    <t>Project management (5%)</t>
  </si>
  <si>
    <t>Catenary renewal (today's $s, for after 10, 20, 30, 40 &amp; 50 years)</t>
  </si>
  <si>
    <t>Track renewal (today's $s, for after 15, 30 &amp; 45 years)</t>
  </si>
  <si>
    <t>Total (today's $) :</t>
  </si>
  <si>
    <t>Tax</t>
  </si>
  <si>
    <t>Assumptions:</t>
  </si>
  <si>
    <t>Costs:</t>
  </si>
  <si>
    <t>EW Switch per unit</t>
  </si>
  <si>
    <t># of EW Switch</t>
  </si>
  <si>
    <t>Tunnel construction per track km</t>
  </si>
  <si>
    <t># tracks built</t>
  </si>
  <si>
    <t>One in each direction</t>
  </si>
  <si>
    <t xml:space="preserve">Interlocking Station </t>
  </si>
  <si>
    <t>Signals</t>
  </si>
  <si>
    <t>VAT rate (tax)</t>
  </si>
  <si>
    <t>Project management cost rate</t>
  </si>
  <si>
    <t>Project:</t>
  </si>
  <si>
    <t>Public transport tunnel to connect Zürich and Bülach directly. PT travel time between Zurich and Bulach lowered by 40%</t>
  </si>
  <si>
    <t>PT</t>
  </si>
  <si>
    <t>Weekly demand (between Zürich and Bülach)</t>
  </si>
  <si>
    <t>Original</t>
  </si>
  <si>
    <t>Forecasted after tunnel</t>
  </si>
  <si>
    <t>Total (weekly)</t>
  </si>
  <si>
    <t>Total (annual)</t>
  </si>
  <si>
    <t>Benefits:</t>
  </si>
  <si>
    <t>Mean dist between zones - car (km)</t>
  </si>
  <si>
    <t>Mean dist between zones - PT (km)</t>
  </si>
  <si>
    <t>Mean dist between zones - walk (km)</t>
  </si>
  <si>
    <t>Mean dist between zones - bike (km)</t>
  </si>
  <si>
    <t>Averages calculated from alternatives data, where an alternative exists</t>
  </si>
  <si>
    <t>Mean TT between zones - car (min)</t>
  </si>
  <si>
    <t>Mean TT between zones - PT, original (min)</t>
  </si>
  <si>
    <t>Mean TT between zones - walk (min)</t>
  </si>
  <si>
    <t>Mean TT between zones - bike (min)</t>
  </si>
  <si>
    <t>Annual demand (between Zürich and Bülach) -current year</t>
  </si>
  <si>
    <t>Mean TT between zones - PT, new (min)</t>
  </si>
  <si>
    <t>Congestion savings</t>
  </si>
  <si>
    <t>CO2 emissions (g) per km</t>
  </si>
  <si>
    <t>Value of C02 emissions (CHF/ton)</t>
  </si>
  <si>
    <t>CO2 emissions per km (tons)</t>
  </si>
  <si>
    <t>Change in aggregate distance travelled (pkm)</t>
  </si>
  <si>
    <t>Emissions Reductions Savings</t>
  </si>
  <si>
    <t>Aggregate travel times savings (CHF)</t>
  </si>
  <si>
    <t>Congestion cost (CHF) per pkm</t>
  </si>
  <si>
    <t>Congestion cost savings (CHF)</t>
  </si>
  <si>
    <t>Congestion Cost savings</t>
  </si>
  <si>
    <t>Weekly Benefits</t>
  </si>
  <si>
    <t>Swiss population growth</t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</si>
  <si>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(Today's $s, 60-year period)</t>
    </r>
  </si>
  <si>
    <t>Annual benefit calculations:</t>
  </si>
  <si>
    <t xml:space="preserve">Swiss population growth </t>
  </si>
  <si>
    <t>Discount rate</t>
  </si>
  <si>
    <t>Year</t>
  </si>
  <si>
    <t>Benefits (accounting for population growth and discounted to t</t>
  </si>
  <si>
    <r>
      <rPr>
        <b/>
        <sz val="11"/>
        <color rgb="FFC00000"/>
        <rFont val="Calibri"/>
        <family val="2"/>
        <scheme val="minor"/>
      </rPr>
      <t xml:space="preserve">Overall </t>
    </r>
    <r>
      <rPr>
        <sz val="11"/>
        <color rgb="FFC00000"/>
        <rFont val="Calibri"/>
        <family val="2"/>
        <scheme val="minor"/>
      </rPr>
      <t>(Today's $s, 60-year period)</t>
    </r>
  </si>
  <si>
    <t xml:space="preserve">Project: </t>
  </si>
  <si>
    <t>Every trip that enters or leaves Zürich pays 10 CHF congestion tax</t>
  </si>
  <si>
    <t>Forecasted after tax</t>
  </si>
  <si>
    <t>Would be good to get a lower travel time here to account for less congestions?</t>
  </si>
  <si>
    <t>Should try to find an estimate for how TT will change with less congestion?</t>
  </si>
  <si>
    <t>Congestion reduction savings</t>
  </si>
  <si>
    <t>Greater than one, so benefits are greater than costs</t>
  </si>
  <si>
    <t>Annual Costs</t>
  </si>
  <si>
    <t>Annual benefits</t>
  </si>
  <si>
    <t>Existing demand travel time savings (CHF)</t>
  </si>
  <si>
    <t>Induced demand travel time savings (CHF)</t>
  </si>
  <si>
    <t>Current adult population of Canton Zurich</t>
  </si>
  <si>
    <t>Cost of tax to drivers (counted as a negative benefit)</t>
  </si>
  <si>
    <t>Num of participants in data sample</t>
  </si>
  <si>
    <t>(from data, not scaled to population)</t>
  </si>
  <si>
    <t>Scaled to Population</t>
  </si>
  <si>
    <t>From data</t>
  </si>
  <si>
    <t>From Data</t>
  </si>
  <si>
    <t>Scaled to population</t>
  </si>
  <si>
    <t>Num participants in data</t>
  </si>
  <si>
    <t>From data, not scaled to population</t>
  </si>
  <si>
    <t>Operating costs (assuming 5% of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</si>
</sst>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[$CHF-100C]_-;\-* #,##0.00\ [$CHF-100C]_-;_-* &quot;-&quot;??\ [$CHF-100C]_-;_-@_-"/>
    <numFmt numFmtId="165" formatCode="_(* #,##0_);_(* \(#,##0\);_(* &quot;-&quot;??_);_(@_)"/>
    <numFmt numFmtId="166" formatCode="_-* #,##0\ [$CHF-100C]_-;\-* #,##0\ [$CHF-100C]_-;_-* &quot;-&quot;??\ [$CHF-100C]_-;_-@_-"/>
    <numFmt numFmtId="167" formatCode="0.000000"/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0" xfId="0" applyFont="1" applyAlignment="1">
      <alignment vertical="top"/>
    </xf>
    <xf numFmtId="0" fontId="0" fillId="2" borderId="0" xfId="0" applyFill="1"/>
    <xf numFmtId="0" fontId="5" fillId="0" borderId="0" xfId="0" applyFont="1" applyAlignment="1">
      <alignment wrapText="1"/>
    </xf>
    <xf numFmtId="164" fontId="1" fillId="0" borderId="1" xfId="0" applyNumberFormat="1" applyFont="1" applyBorder="1"/>
    <xf numFmtId="1" fontId="0" fillId="0" borderId="0" xfId="0" applyNumberFormat="1"/>
    <xf numFmtId="165" fontId="0" fillId="0" borderId="0" xfId="1" applyNumberFormat="1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5" fillId="0" borderId="0" xfId="0" applyNumberFormat="1" applyFont="1"/>
    <xf numFmtId="9" fontId="0" fillId="0" borderId="0" xfId="2" applyFont="1"/>
    <xf numFmtId="166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166" fontId="0" fillId="0" borderId="4" xfId="0" applyNumberFormat="1" applyBorder="1"/>
    <xf numFmtId="166" fontId="9" fillId="0" borderId="4" xfId="0" applyNumberFormat="1" applyFont="1" applyBorder="1"/>
    <xf numFmtId="0" fontId="9" fillId="0" borderId="0" xfId="0" applyFont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66" fontId="1" fillId="0" borderId="0" xfId="0" applyNumberFormat="1" applyFont="1"/>
    <xf numFmtId="0" fontId="1" fillId="2" borderId="0" xfId="0" applyFont="1" applyFill="1" applyAlignment="1">
      <alignment wrapText="1"/>
    </xf>
    <xf numFmtId="167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 applyAlignment="1">
      <alignment wrapText="1"/>
    </xf>
    <xf numFmtId="168" fontId="0" fillId="0" borderId="0" xfId="2" applyNumberFormat="1" applyFont="1"/>
    <xf numFmtId="165" fontId="5" fillId="0" borderId="0" xfId="1" applyNumberFormat="1" applyFont="1"/>
    <xf numFmtId="0" fontId="1" fillId="0" borderId="1" xfId="0" applyFont="1" applyBorder="1"/>
    <xf numFmtId="0" fontId="0" fillId="0" borderId="5" xfId="0" applyBorder="1" applyAlignment="1">
      <alignment wrapText="1"/>
    </xf>
    <xf numFmtId="0" fontId="0" fillId="0" borderId="0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R116"/>
  <sheetViews>
    <sheetView topLeftCell="A10" zoomScale="106" workbookViewId="0">
      <selection activeCell="J39" sqref="J39"/>
    </sheetView>
  </sheetViews>
  <sheetFormatPr baseColWidth="10" defaultColWidth="8.83203125" defaultRowHeight="15" x14ac:dyDescent="0.2"/>
  <cols>
    <col min="1" max="1" width="22" customWidth="1"/>
    <col min="2" max="2" width="24" customWidth="1"/>
    <col min="3" max="3" width="19.6640625" customWidth="1"/>
    <col min="4" max="4" width="47.5" customWidth="1"/>
    <col min="5" max="5" width="5.5" customWidth="1"/>
    <col min="6" max="6" width="18.33203125" customWidth="1"/>
    <col min="7" max="7" width="29.83203125" customWidth="1"/>
    <col min="8" max="8" width="17.5" customWidth="1"/>
    <col min="9" max="9" width="12.5" customWidth="1"/>
    <col min="10" max="11" width="17.5" customWidth="1"/>
    <col min="12" max="12" width="13" customWidth="1"/>
    <col min="15" max="15" width="11.83203125" customWidth="1"/>
    <col min="16" max="16" width="12.83203125" customWidth="1"/>
    <col min="17" max="17" width="11.33203125" customWidth="1"/>
    <col min="18" max="18" width="12.1640625" customWidth="1"/>
  </cols>
  <sheetData>
    <row r="1" spans="1:11" s="12" customFormat="1" x14ac:dyDescent="0.2">
      <c r="A1" s="12" t="s">
        <v>43</v>
      </c>
      <c r="B1" s="12" t="s">
        <v>44</v>
      </c>
    </row>
    <row r="3" spans="1:11" ht="16" x14ac:dyDescent="0.2">
      <c r="C3" s="1" t="s">
        <v>13</v>
      </c>
      <c r="D3" s="7">
        <v>8000</v>
      </c>
      <c r="G3" s="3" t="s">
        <v>32</v>
      </c>
    </row>
    <row r="4" spans="1:11" x14ac:dyDescent="0.2">
      <c r="C4" s="1"/>
      <c r="G4" s="3" t="s">
        <v>33</v>
      </c>
    </row>
    <row r="5" spans="1:11" ht="16" x14ac:dyDescent="0.2">
      <c r="A5" s="3" t="s">
        <v>22</v>
      </c>
      <c r="B5" s="3" t="s">
        <v>23</v>
      </c>
      <c r="C5" s="1" t="s">
        <v>16</v>
      </c>
      <c r="D5" s="2">
        <f>D3*H5*H6</f>
        <v>1040000000</v>
      </c>
      <c r="G5" t="s">
        <v>37</v>
      </c>
      <c r="H5" s="7">
        <v>2</v>
      </c>
      <c r="I5" s="8" t="s">
        <v>38</v>
      </c>
    </row>
    <row r="6" spans="1:11" ht="16" x14ac:dyDescent="0.2">
      <c r="C6" s="1" t="s">
        <v>17</v>
      </c>
      <c r="D6" s="2">
        <f>H8*H7</f>
        <v>1280000</v>
      </c>
      <c r="G6" t="s">
        <v>36</v>
      </c>
      <c r="H6" s="7">
        <v>65000</v>
      </c>
    </row>
    <row r="7" spans="1:11" ht="16" x14ac:dyDescent="0.2">
      <c r="C7" s="1" t="s">
        <v>18</v>
      </c>
      <c r="D7" s="2">
        <f>D3*H9*H5</f>
        <v>35200000</v>
      </c>
      <c r="G7" t="s">
        <v>34</v>
      </c>
      <c r="H7" s="7">
        <v>320000</v>
      </c>
    </row>
    <row r="8" spans="1:11" ht="16" x14ac:dyDescent="0.2">
      <c r="C8" s="1" t="s">
        <v>19</v>
      </c>
      <c r="D8" s="2">
        <f>H5*H10*D3</f>
        <v>7520000</v>
      </c>
      <c r="G8" t="s">
        <v>35</v>
      </c>
      <c r="H8" s="7">
        <v>4</v>
      </c>
    </row>
    <row r="9" spans="1:11" ht="16" x14ac:dyDescent="0.2">
      <c r="C9" s="1" t="s">
        <v>20</v>
      </c>
      <c r="D9" s="2">
        <f>H11</f>
        <v>4200000</v>
      </c>
      <c r="G9" t="s">
        <v>18</v>
      </c>
      <c r="H9" s="7">
        <v>2200</v>
      </c>
    </row>
    <row r="10" spans="1:11" ht="16" x14ac:dyDescent="0.2">
      <c r="C10" s="9" t="s">
        <v>21</v>
      </c>
      <c r="D10" s="10">
        <f>(D3*H12*H5)/2</f>
        <v>640000000</v>
      </c>
      <c r="G10" t="s">
        <v>19</v>
      </c>
      <c r="H10" s="7">
        <v>470</v>
      </c>
    </row>
    <row r="11" spans="1:11" ht="16" x14ac:dyDescent="0.2">
      <c r="C11" s="4" t="s">
        <v>24</v>
      </c>
      <c r="D11" s="5">
        <f>SUM(D5:D10)</f>
        <v>1728200000</v>
      </c>
      <c r="G11" t="s">
        <v>39</v>
      </c>
      <c r="H11" s="7">
        <v>4200000</v>
      </c>
    </row>
    <row r="12" spans="1:11" x14ac:dyDescent="0.2">
      <c r="G12" t="s">
        <v>40</v>
      </c>
      <c r="H12" s="7">
        <v>80000</v>
      </c>
    </row>
    <row r="13" spans="1:11" x14ac:dyDescent="0.2">
      <c r="C13" s="4"/>
      <c r="D13" s="5"/>
      <c r="G13" t="s">
        <v>26</v>
      </c>
      <c r="H13" s="24">
        <v>2.5000000000000001E-2</v>
      </c>
      <c r="J13" s="2"/>
      <c r="K13" s="2"/>
    </row>
    <row r="14" spans="1:11" x14ac:dyDescent="0.2">
      <c r="C14" s="4"/>
      <c r="D14" s="5"/>
      <c r="J14" s="2"/>
      <c r="K14" s="2"/>
    </row>
    <row r="15" spans="1:11" ht="48" x14ac:dyDescent="0.2">
      <c r="B15" s="11" t="s">
        <v>25</v>
      </c>
      <c r="C15" s="1" t="s">
        <v>29</v>
      </c>
      <c r="D15" s="2">
        <f>D7*((1+H13)^(-15)+(1+H13)^(-30)+(1+H13)^-(45))</f>
        <v>52672669.125554681</v>
      </c>
      <c r="G15" t="s">
        <v>41</v>
      </c>
      <c r="H15" s="7">
        <v>7.6999999999999999E-2</v>
      </c>
    </row>
    <row r="16" spans="1:11" ht="48" x14ac:dyDescent="0.2">
      <c r="C16" s="9" t="s">
        <v>28</v>
      </c>
      <c r="D16" s="10">
        <f>D8*((1+H13)^-10 + (1+H13)^-20 +(1+ H13)^-30 + (1+H13)^-40 + (1+H13)^-50 )</f>
        <v>19037518.158102311</v>
      </c>
      <c r="G16" t="s">
        <v>42</v>
      </c>
      <c r="H16" s="7">
        <v>0.05</v>
      </c>
    </row>
    <row r="17" spans="1:9" ht="16" x14ac:dyDescent="0.2">
      <c r="C17" s="4" t="s">
        <v>30</v>
      </c>
      <c r="D17" s="5">
        <f>D15+D16</f>
        <v>71710187.283656985</v>
      </c>
    </row>
    <row r="18" spans="1:9" x14ac:dyDescent="0.2">
      <c r="C18" s="4"/>
      <c r="D18" s="5"/>
      <c r="G18" s="3" t="s">
        <v>51</v>
      </c>
    </row>
    <row r="19" spans="1:9" ht="16" x14ac:dyDescent="0.2">
      <c r="B19" s="4" t="s">
        <v>27</v>
      </c>
      <c r="C19" s="4"/>
      <c r="D19" s="2">
        <f>H16*(D11+D17)</f>
        <v>89995509.36418286</v>
      </c>
      <c r="G19" t="s">
        <v>52</v>
      </c>
      <c r="H19" s="7">
        <v>15</v>
      </c>
      <c r="I19" s="8" t="s">
        <v>56</v>
      </c>
    </row>
    <row r="20" spans="1:9" x14ac:dyDescent="0.2">
      <c r="B20" s="3" t="s">
        <v>31</v>
      </c>
      <c r="C20" s="4"/>
      <c r="D20" s="2">
        <f>(D17+D11)*H15</f>
        <v>138593084.4208416</v>
      </c>
      <c r="G20" t="s">
        <v>53</v>
      </c>
      <c r="H20" s="7">
        <v>14</v>
      </c>
    </row>
    <row r="21" spans="1:9" ht="16" thickBot="1" x14ac:dyDescent="0.25">
      <c r="C21" s="4"/>
      <c r="D21" s="2"/>
      <c r="G21" t="s">
        <v>54</v>
      </c>
      <c r="H21" s="7">
        <v>3</v>
      </c>
    </row>
    <row r="22" spans="1:9" ht="16" thickBot="1" x14ac:dyDescent="0.25">
      <c r="B22" s="28" t="s">
        <v>81</v>
      </c>
      <c r="C22" s="29"/>
      <c r="D22" s="32">
        <f>D11+D17+D19+D20</f>
        <v>2028498781.0686817</v>
      </c>
      <c r="F22" s="6"/>
      <c r="G22" t="s">
        <v>55</v>
      </c>
      <c r="H22" s="7">
        <v>8</v>
      </c>
    </row>
    <row r="23" spans="1:9" x14ac:dyDescent="0.2">
      <c r="C23" s="1"/>
      <c r="D23" s="5"/>
      <c r="F23" s="6"/>
      <c r="G23" t="s">
        <v>57</v>
      </c>
      <c r="H23" s="7">
        <v>18</v>
      </c>
      <c r="I23" s="33" t="s">
        <v>85</v>
      </c>
    </row>
    <row r="24" spans="1:9" x14ac:dyDescent="0.2">
      <c r="C24" s="1"/>
      <c r="D24" s="5"/>
      <c r="F24" s="6"/>
      <c r="G24" t="s">
        <v>58</v>
      </c>
      <c r="H24" s="7">
        <v>33</v>
      </c>
    </row>
    <row r="25" spans="1:9" ht="16" x14ac:dyDescent="0.2">
      <c r="A25" s="8" t="s">
        <v>96</v>
      </c>
      <c r="C25" s="35" t="s">
        <v>47</v>
      </c>
      <c r="D25" s="14" t="s">
        <v>48</v>
      </c>
      <c r="F25" s="6"/>
      <c r="G25" t="s">
        <v>62</v>
      </c>
      <c r="H25">
        <f>H24*(1-0.4)</f>
        <v>19.8</v>
      </c>
    </row>
    <row r="26" spans="1:9" ht="32" x14ac:dyDescent="0.2">
      <c r="A26" s="4" t="s">
        <v>46</v>
      </c>
      <c r="B26" s="34" t="s">
        <v>3</v>
      </c>
      <c r="C26" s="13">
        <v>452</v>
      </c>
      <c r="D26" s="13">
        <v>412</v>
      </c>
      <c r="F26" s="6"/>
      <c r="G26" t="s">
        <v>59</v>
      </c>
      <c r="H26" s="7">
        <v>37</v>
      </c>
    </row>
    <row r="27" spans="1:9" x14ac:dyDescent="0.2">
      <c r="A27" s="3"/>
      <c r="B27" s="34" t="s">
        <v>45</v>
      </c>
      <c r="C27" s="13">
        <v>322</v>
      </c>
      <c r="D27" s="13">
        <v>444</v>
      </c>
      <c r="F27" s="6"/>
      <c r="G27" t="s">
        <v>60</v>
      </c>
      <c r="H27" s="7">
        <v>33</v>
      </c>
    </row>
    <row r="28" spans="1:9" x14ac:dyDescent="0.2">
      <c r="A28" s="3"/>
      <c r="B28" s="34" t="s">
        <v>6</v>
      </c>
      <c r="C28" s="13">
        <v>27</v>
      </c>
      <c r="D28" s="13">
        <v>35</v>
      </c>
      <c r="F28" s="6"/>
      <c r="H28" s="7"/>
      <c r="I28" s="8"/>
    </row>
    <row r="29" spans="1:9" x14ac:dyDescent="0.2">
      <c r="A29" s="3"/>
      <c r="B29" s="34" t="s">
        <v>5</v>
      </c>
      <c r="C29" s="13">
        <v>6</v>
      </c>
      <c r="D29" s="13">
        <v>8</v>
      </c>
      <c r="F29" s="6"/>
      <c r="G29" t="s">
        <v>74</v>
      </c>
      <c r="H29" s="24">
        <v>6.1500000000000001E-3</v>
      </c>
    </row>
    <row r="30" spans="1:9" x14ac:dyDescent="0.2">
      <c r="A30" s="3"/>
      <c r="B30" s="34" t="s">
        <v>49</v>
      </c>
      <c r="C30" s="1">
        <f>SUM(C26:C29)</f>
        <v>807</v>
      </c>
      <c r="D30" s="15">
        <f>SUM(D26:D29)</f>
        <v>899</v>
      </c>
      <c r="F30" s="6"/>
      <c r="G30" t="s">
        <v>93</v>
      </c>
      <c r="H30" s="45">
        <v>1240000</v>
      </c>
    </row>
    <row r="31" spans="1:9" ht="48" x14ac:dyDescent="0.2">
      <c r="A31" s="4" t="s">
        <v>61</v>
      </c>
      <c r="B31" t="s">
        <v>50</v>
      </c>
      <c r="C31" s="16">
        <f>C30*52</f>
        <v>41964</v>
      </c>
      <c r="D31" s="16">
        <f>D30*52</f>
        <v>46748</v>
      </c>
      <c r="F31" s="6"/>
      <c r="G31" t="s">
        <v>95</v>
      </c>
      <c r="H31" s="7">
        <v>1254</v>
      </c>
    </row>
    <row r="32" spans="1:9" x14ac:dyDescent="0.2">
      <c r="C32" s="1"/>
      <c r="D32" s="5"/>
      <c r="F32" s="6"/>
    </row>
    <row r="33" spans="1:18" x14ac:dyDescent="0.2">
      <c r="C33" s="1"/>
      <c r="D33" s="5"/>
      <c r="F33" s="6"/>
    </row>
    <row r="34" spans="1:18" x14ac:dyDescent="0.2">
      <c r="C34" s="1"/>
      <c r="D34" s="3"/>
      <c r="F34" s="6"/>
      <c r="H34" s="3" t="s">
        <v>73</v>
      </c>
      <c r="I34" t="s">
        <v>96</v>
      </c>
      <c r="K34" s="33"/>
    </row>
    <row r="35" spans="1:18" x14ac:dyDescent="0.2">
      <c r="C35" s="1"/>
      <c r="D35" s="5"/>
      <c r="F35" s="6"/>
      <c r="H35" s="21"/>
      <c r="I35" s="21" t="s">
        <v>10</v>
      </c>
      <c r="J35" s="21"/>
      <c r="K35" s="21"/>
      <c r="L35" s="17"/>
      <c r="M35" s="17" t="s">
        <v>68</v>
      </c>
      <c r="N35" s="17"/>
      <c r="O35" s="17"/>
      <c r="P35" s="17"/>
      <c r="Q35" s="22" t="s">
        <v>72</v>
      </c>
      <c r="R35" s="22"/>
    </row>
    <row r="36" spans="1:18" ht="64" x14ac:dyDescent="0.2">
      <c r="C36" s="35" t="s">
        <v>98</v>
      </c>
      <c r="D36" s="46" t="s">
        <v>97</v>
      </c>
      <c r="G36" t="s">
        <v>12</v>
      </c>
      <c r="H36" s="1" t="s">
        <v>7</v>
      </c>
      <c r="I36" s="1" t="s">
        <v>91</v>
      </c>
      <c r="J36" s="1" t="s">
        <v>92</v>
      </c>
      <c r="K36" s="4" t="s">
        <v>69</v>
      </c>
      <c r="L36" s="1" t="s">
        <v>67</v>
      </c>
      <c r="M36" s="1" t="s">
        <v>64</v>
      </c>
      <c r="N36" s="1" t="s">
        <v>66</v>
      </c>
      <c r="O36" s="1" t="s">
        <v>65</v>
      </c>
      <c r="P36" s="4" t="s">
        <v>9</v>
      </c>
      <c r="Q36" s="1" t="s">
        <v>70</v>
      </c>
      <c r="R36" s="1" t="s">
        <v>71</v>
      </c>
    </row>
    <row r="37" spans="1:18" ht="16" x14ac:dyDescent="0.2">
      <c r="A37" s="3" t="s">
        <v>0</v>
      </c>
      <c r="B37" s="47" t="s">
        <v>10</v>
      </c>
      <c r="C37" s="2">
        <f>SUM(K37:K38)</f>
        <v>1213.3439999999998</v>
      </c>
      <c r="D37" s="26">
        <f>C37*($H$30/$H$31)</f>
        <v>1199797.894736842</v>
      </c>
      <c r="G37" s="1" t="s">
        <v>3</v>
      </c>
      <c r="H37" s="7">
        <v>23.3</v>
      </c>
      <c r="I37">
        <v>0</v>
      </c>
      <c r="J37" s="1">
        <v>0</v>
      </c>
      <c r="K37" s="4">
        <f>I37+J37</f>
        <v>0</v>
      </c>
      <c r="L37">
        <f>C26*H19-D26*H19</f>
        <v>600</v>
      </c>
      <c r="M37" s="7">
        <v>192</v>
      </c>
      <c r="N37">
        <f>M37/1000000</f>
        <v>1.92E-4</v>
      </c>
      <c r="O37" s="7">
        <v>90</v>
      </c>
      <c r="P37" s="3">
        <f>L37*N37*O37</f>
        <v>10.368</v>
      </c>
      <c r="Q37" s="7">
        <f>(0.012+0.031)/2</f>
        <v>2.1499999999999998E-2</v>
      </c>
      <c r="R37">
        <f>L37*Q37</f>
        <v>12.899999999999999</v>
      </c>
    </row>
    <row r="38" spans="1:18" ht="16" x14ac:dyDescent="0.2">
      <c r="B38" s="47" t="s">
        <v>8</v>
      </c>
      <c r="C38" s="2">
        <f>SUM(P37:P40)</f>
        <v>15.748200000000001</v>
      </c>
      <c r="D38" s="26">
        <f t="shared" ref="D38:D41" si="0">C38*($H$30/$H$31)</f>
        <v>15572.382775119619</v>
      </c>
      <c r="G38" s="1" t="s">
        <v>4</v>
      </c>
      <c r="H38" s="7">
        <v>14.4</v>
      </c>
      <c r="I38">
        <f>(C27*(H24-H25)*H38)/60</f>
        <v>1020.0959999999999</v>
      </c>
      <c r="J38" s="1">
        <f>0.5*(D27-C27)*(H24-H25)*H38/60</f>
        <v>193.24799999999999</v>
      </c>
      <c r="K38" s="4">
        <f>I38+J38</f>
        <v>1213.3439999999998</v>
      </c>
      <c r="L38">
        <f>D27*H20-C27*H20</f>
        <v>1708</v>
      </c>
      <c r="M38" s="7">
        <v>35</v>
      </c>
      <c r="N38">
        <f t="shared" ref="N38:N40" si="1">M38/1000000</f>
        <v>3.4999999999999997E-5</v>
      </c>
      <c r="O38" s="7">
        <v>90</v>
      </c>
      <c r="P38" s="3">
        <f>L38*N38*O38</f>
        <v>5.3801999999999994</v>
      </c>
      <c r="Q38">
        <v>0</v>
      </c>
      <c r="R38" s="19"/>
    </row>
    <row r="39" spans="1:18" ht="16" x14ac:dyDescent="0.2">
      <c r="B39" s="34" t="s">
        <v>63</v>
      </c>
      <c r="C39" s="2">
        <f>SUM(R37:R40)</f>
        <v>12.899999999999999</v>
      </c>
      <c r="D39" s="26">
        <f t="shared" si="0"/>
        <v>12755.980861244017</v>
      </c>
      <c r="G39" s="1" t="s">
        <v>6</v>
      </c>
      <c r="H39" s="18"/>
      <c r="I39" s="19"/>
      <c r="J39" s="20"/>
      <c r="K39" s="20"/>
      <c r="L39">
        <f>D28*H21-C28*H21</f>
        <v>24</v>
      </c>
      <c r="M39" s="7">
        <v>0</v>
      </c>
      <c r="N39">
        <f t="shared" si="1"/>
        <v>0</v>
      </c>
      <c r="O39" s="7">
        <v>90</v>
      </c>
      <c r="P39" s="3">
        <f>L39*N39*O39</f>
        <v>0</v>
      </c>
      <c r="Q39">
        <v>0</v>
      </c>
      <c r="R39" s="19"/>
    </row>
    <row r="40" spans="1:18" ht="16" x14ac:dyDescent="0.2">
      <c r="D40" s="26">
        <f t="shared" si="0"/>
        <v>0</v>
      </c>
      <c r="G40" s="1" t="s">
        <v>5</v>
      </c>
      <c r="H40" s="18"/>
      <c r="I40" s="19"/>
      <c r="J40" s="19"/>
      <c r="K40" s="19"/>
      <c r="L40">
        <f>D29*H22-C29*H22</f>
        <v>16</v>
      </c>
      <c r="M40" s="7">
        <v>0</v>
      </c>
      <c r="N40">
        <f t="shared" si="1"/>
        <v>0</v>
      </c>
      <c r="O40" s="7">
        <v>90</v>
      </c>
      <c r="P40" s="3">
        <f>L40*M40*O40</f>
        <v>0</v>
      </c>
      <c r="Q40">
        <v>0</v>
      </c>
      <c r="R40" s="19"/>
    </row>
    <row r="41" spans="1:18" ht="16" x14ac:dyDescent="0.2">
      <c r="B41" s="36" t="s">
        <v>49</v>
      </c>
      <c r="C41" s="2">
        <f>SUM(C37:C39)</f>
        <v>1241.9921999999999</v>
      </c>
      <c r="D41" s="26">
        <f t="shared" si="0"/>
        <v>1228126.2583732058</v>
      </c>
      <c r="F41" s="6"/>
    </row>
    <row r="42" spans="1:18" x14ac:dyDescent="0.2">
      <c r="D42" s="2"/>
    </row>
    <row r="43" spans="1:18" x14ac:dyDescent="0.2">
      <c r="A43" s="3" t="s">
        <v>90</v>
      </c>
      <c r="C43" s="2">
        <f>52*C41</f>
        <v>64583.594399999994</v>
      </c>
      <c r="D43" s="2">
        <f>52*D41</f>
        <v>63862565.4354067</v>
      </c>
    </row>
    <row r="44" spans="1:18" ht="16" thickBot="1" x14ac:dyDescent="0.25">
      <c r="D44" s="2"/>
    </row>
    <row r="45" spans="1:18" ht="16" thickBot="1" x14ac:dyDescent="0.25">
      <c r="B45" s="27" t="s">
        <v>75</v>
      </c>
      <c r="C45" s="30"/>
      <c r="D45" s="31">
        <f>SUM(B56:B116)</f>
        <v>2353376160.1742077</v>
      </c>
    </row>
    <row r="48" spans="1:18" ht="16" x14ac:dyDescent="0.2">
      <c r="A48" s="40" t="s">
        <v>15</v>
      </c>
      <c r="B48" s="41">
        <f>D45/D22</f>
        <v>1.1601565562363165</v>
      </c>
    </row>
    <row r="52" spans="1:2" x14ac:dyDescent="0.2">
      <c r="A52" s="3" t="s">
        <v>76</v>
      </c>
    </row>
    <row r="53" spans="1:2" x14ac:dyDescent="0.2">
      <c r="A53" t="s">
        <v>77</v>
      </c>
      <c r="B53" s="23">
        <f>H29</f>
        <v>6.1500000000000001E-3</v>
      </c>
    </row>
    <row r="54" spans="1:2" x14ac:dyDescent="0.2">
      <c r="A54" t="s">
        <v>78</v>
      </c>
      <c r="B54" s="44">
        <f>H13</f>
        <v>2.5000000000000001E-2</v>
      </c>
    </row>
    <row r="55" spans="1:2" x14ac:dyDescent="0.2">
      <c r="A55" t="s">
        <v>79</v>
      </c>
      <c r="B55" s="25" t="s">
        <v>80</v>
      </c>
    </row>
    <row r="56" spans="1:2" x14ac:dyDescent="0.2">
      <c r="A56">
        <v>0</v>
      </c>
      <c r="B56" s="26">
        <f>$D$43*(1+$B$54)^-A56*(1+$B$53)^A56</f>
        <v>63862565.4354067</v>
      </c>
    </row>
    <row r="57" spans="1:2" x14ac:dyDescent="0.2">
      <c r="A57">
        <v>1</v>
      </c>
      <c r="B57" s="26">
        <f t="shared" ref="B57:B116" si="2">$D$43*(1+$B$54)^-A57*(1+$B$53)^A57</f>
        <v>62688117.280814111</v>
      </c>
    </row>
    <row r="58" spans="1:2" x14ac:dyDescent="0.2">
      <c r="A58">
        <v>2</v>
      </c>
      <c r="B58" s="26">
        <f t="shared" si="2"/>
        <v>61535267.514235236</v>
      </c>
    </row>
    <row r="59" spans="1:2" x14ac:dyDescent="0.2">
      <c r="A59">
        <f>A58+1</f>
        <v>3</v>
      </c>
      <c r="B59" s="26">
        <f t="shared" si="2"/>
        <v>60403618.936046623</v>
      </c>
    </row>
    <row r="60" spans="1:2" x14ac:dyDescent="0.2">
      <c r="A60">
        <f t="shared" ref="A60:A116" si="3">A59+1</f>
        <v>4</v>
      </c>
      <c r="B60" s="26">
        <f t="shared" si="2"/>
        <v>59292781.651222758</v>
      </c>
    </row>
    <row r="61" spans="1:2" x14ac:dyDescent="0.2">
      <c r="A61">
        <f t="shared" si="3"/>
        <v>5</v>
      </c>
      <c r="B61" s="26">
        <f t="shared" si="2"/>
        <v>58202372.935002707</v>
      </c>
    </row>
    <row r="62" spans="1:2" x14ac:dyDescent="0.2">
      <c r="A62">
        <f t="shared" si="3"/>
        <v>6</v>
      </c>
      <c r="B62" s="26">
        <f t="shared" si="2"/>
        <v>57132017.101027302</v>
      </c>
    </row>
    <row r="63" spans="1:2" x14ac:dyDescent="0.2">
      <c r="A63">
        <f t="shared" si="3"/>
        <v>7</v>
      </c>
      <c r="B63" s="26">
        <f t="shared" si="2"/>
        <v>56081345.371901102</v>
      </c>
    </row>
    <row r="64" spans="1:2" x14ac:dyDescent="0.2">
      <c r="A64">
        <f t="shared" si="3"/>
        <v>8</v>
      </c>
      <c r="B64" s="26">
        <f t="shared" si="2"/>
        <v>55049995.752134927</v>
      </c>
    </row>
    <row r="65" spans="1:2" x14ac:dyDescent="0.2">
      <c r="A65">
        <f t="shared" si="3"/>
        <v>9</v>
      </c>
      <c r="B65" s="26">
        <f t="shared" si="2"/>
        <v>54037612.903424948</v>
      </c>
    </row>
    <row r="66" spans="1:2" x14ac:dyDescent="0.2">
      <c r="A66">
        <f t="shared" si="3"/>
        <v>10</v>
      </c>
      <c r="B66" s="26">
        <f t="shared" si="2"/>
        <v>53043848.02222538</v>
      </c>
    </row>
    <row r="67" spans="1:2" x14ac:dyDescent="0.2">
      <c r="A67">
        <f t="shared" si="3"/>
        <v>11</v>
      </c>
      <c r="B67" s="26">
        <f t="shared" si="2"/>
        <v>52068358.719572745</v>
      </c>
    </row>
    <row r="68" spans="1:2" x14ac:dyDescent="0.2">
      <c r="A68">
        <f t="shared" si="3"/>
        <v>12</v>
      </c>
      <c r="B68" s="26">
        <f t="shared" si="2"/>
        <v>51110808.903120138</v>
      </c>
    </row>
    <row r="69" spans="1:2" x14ac:dyDescent="0.2">
      <c r="A69">
        <f t="shared" si="3"/>
        <v>13</v>
      </c>
      <c r="B69" s="26">
        <f t="shared" si="2"/>
        <v>50170868.661340795</v>
      </c>
    </row>
    <row r="70" spans="1:2" x14ac:dyDescent="0.2">
      <c r="A70">
        <f t="shared" si="3"/>
        <v>14</v>
      </c>
      <c r="B70" s="26">
        <f t="shared" si="2"/>
        <v>49248214.149861522</v>
      </c>
    </row>
    <row r="71" spans="1:2" x14ac:dyDescent="0.2">
      <c r="A71">
        <f t="shared" si="3"/>
        <v>15</v>
      </c>
      <c r="B71" s="26">
        <f t="shared" si="2"/>
        <v>48342527.479886018</v>
      </c>
    </row>
    <row r="72" spans="1:2" x14ac:dyDescent="0.2">
      <c r="A72">
        <f>A71+1</f>
        <v>16</v>
      </c>
      <c r="B72" s="26">
        <f t="shared" si="2"/>
        <v>47453496.608670563</v>
      </c>
    </row>
    <row r="73" spans="1:2" x14ac:dyDescent="0.2">
      <c r="A73">
        <f t="shared" si="3"/>
        <v>17</v>
      </c>
      <c r="B73" s="26">
        <f t="shared" si="2"/>
        <v>46580815.232013553</v>
      </c>
    </row>
    <row r="74" spans="1:2" x14ac:dyDescent="0.2">
      <c r="A74">
        <f t="shared" si="3"/>
        <v>18</v>
      </c>
      <c r="B74" s="26">
        <f t="shared" si="2"/>
        <v>45724182.678722374</v>
      </c>
    </row>
    <row r="75" spans="1:2" x14ac:dyDescent="0.2">
      <c r="A75">
        <f t="shared" si="3"/>
        <v>19</v>
      </c>
      <c r="B75" s="26">
        <f t="shared" si="2"/>
        <v>44883303.807020999</v>
      </c>
    </row>
    <row r="76" spans="1:2" x14ac:dyDescent="0.2">
      <c r="A76">
        <f t="shared" si="3"/>
        <v>20</v>
      </c>
      <c r="B76" s="26">
        <f t="shared" si="2"/>
        <v>44057888.902862623</v>
      </c>
    </row>
    <row r="77" spans="1:2" x14ac:dyDescent="0.2">
      <c r="A77">
        <f t="shared" si="3"/>
        <v>21</v>
      </c>
      <c r="B77" s="26">
        <f t="shared" si="2"/>
        <v>43247653.580112427</v>
      </c>
    </row>
    <row r="78" spans="1:2" x14ac:dyDescent="0.2">
      <c r="A78">
        <f t="shared" si="3"/>
        <v>22</v>
      </c>
      <c r="B78" s="26">
        <f t="shared" si="2"/>
        <v>42452318.682565972</v>
      </c>
    </row>
    <row r="79" spans="1:2" x14ac:dyDescent="0.2">
      <c r="A79">
        <f t="shared" si="3"/>
        <v>23</v>
      </c>
      <c r="B79" s="26">
        <f t="shared" si="2"/>
        <v>41671610.187769525</v>
      </c>
    </row>
    <row r="80" spans="1:2" x14ac:dyDescent="0.2">
      <c r="A80">
        <f t="shared" si="3"/>
        <v>24</v>
      </c>
      <c r="B80" s="26">
        <f t="shared" si="2"/>
        <v>40905259.112609081</v>
      </c>
    </row>
    <row r="81" spans="1:2" x14ac:dyDescent="0.2">
      <c r="A81">
        <f t="shared" si="3"/>
        <v>25</v>
      </c>
      <c r="B81" s="26">
        <f t="shared" si="2"/>
        <v>40153001.42063573</v>
      </c>
    </row>
    <row r="82" spans="1:2" x14ac:dyDescent="0.2">
      <c r="A82">
        <f t="shared" si="3"/>
        <v>26</v>
      </c>
      <c r="B82" s="26">
        <f t="shared" si="2"/>
        <v>39414577.93109528</v>
      </c>
    </row>
    <row r="83" spans="1:2" x14ac:dyDescent="0.2">
      <c r="A83">
        <f t="shared" si="3"/>
        <v>27</v>
      </c>
      <c r="B83" s="26">
        <f t="shared" si="2"/>
        <v>38689734.229630738</v>
      </c>
    </row>
    <row r="84" spans="1:2" x14ac:dyDescent="0.2">
      <c r="A84">
        <f t="shared" si="3"/>
        <v>28</v>
      </c>
      <c r="B84" s="26">
        <f t="shared" si="2"/>
        <v>37978220.5806273</v>
      </c>
    </row>
    <row r="85" spans="1:2" x14ac:dyDescent="0.2">
      <c r="A85">
        <f>A84+1</f>
        <v>29</v>
      </c>
      <c r="B85" s="26">
        <f t="shared" si="2"/>
        <v>37279791.841168925</v>
      </c>
    </row>
    <row r="86" spans="1:2" x14ac:dyDescent="0.2">
      <c r="A86">
        <f t="shared" si="3"/>
        <v>30</v>
      </c>
      <c r="B86" s="26">
        <f t="shared" si="2"/>
        <v>36594207.37657769</v>
      </c>
    </row>
    <row r="87" spans="1:2" x14ac:dyDescent="0.2">
      <c r="A87">
        <f t="shared" si="3"/>
        <v>31</v>
      </c>
      <c r="B87" s="26">
        <f t="shared" si="2"/>
        <v>35921230.977505982</v>
      </c>
    </row>
    <row r="88" spans="1:2" x14ac:dyDescent="0.2">
      <c r="A88">
        <f t="shared" si="3"/>
        <v>32</v>
      </c>
      <c r="B88" s="26">
        <f t="shared" si="2"/>
        <v>35260630.778553814</v>
      </c>
    </row>
    <row r="89" spans="1:2" x14ac:dyDescent="0.2">
      <c r="A89">
        <f t="shared" si="3"/>
        <v>33</v>
      </c>
      <c r="B89" s="26">
        <f t="shared" si="2"/>
        <v>34612179.178382367</v>
      </c>
    </row>
    <row r="90" spans="1:2" x14ac:dyDescent="0.2">
      <c r="A90">
        <f t="shared" si="3"/>
        <v>34</v>
      </c>
      <c r="B90" s="26">
        <f>$D$43*(1+$B$54)^-A90*(1+$B$53)^A90</f>
        <v>33975652.761296995</v>
      </c>
    </row>
    <row r="91" spans="1:2" x14ac:dyDescent="0.2">
      <c r="A91">
        <f t="shared" si="3"/>
        <v>35</v>
      </c>
      <c r="B91" s="26">
        <f t="shared" si="2"/>
        <v>33350832.220272169</v>
      </c>
    </row>
    <row r="92" spans="1:2" x14ac:dyDescent="0.2">
      <c r="A92">
        <f t="shared" si="3"/>
        <v>36</v>
      </c>
      <c r="B92" s="26">
        <f t="shared" si="2"/>
        <v>32737502.281392049</v>
      </c>
    </row>
    <row r="93" spans="1:2" x14ac:dyDescent="0.2">
      <c r="A93">
        <f t="shared" si="3"/>
        <v>37</v>
      </c>
      <c r="B93" s="26">
        <f t="shared" si="2"/>
        <v>32135451.629680596</v>
      </c>
    </row>
    <row r="94" spans="1:2" x14ac:dyDescent="0.2">
      <c r="A94">
        <f t="shared" si="3"/>
        <v>38</v>
      </c>
      <c r="B94" s="26">
        <f t="shared" si="2"/>
        <v>31544472.83629575</v>
      </c>
    </row>
    <row r="95" spans="1:2" x14ac:dyDescent="0.2">
      <c r="A95">
        <f t="shared" si="3"/>
        <v>39</v>
      </c>
      <c r="B95" s="26">
        <f t="shared" si="2"/>
        <v>30964362.287062407</v>
      </c>
    </row>
    <row r="96" spans="1:2" x14ac:dyDescent="0.2">
      <c r="A96">
        <f t="shared" si="3"/>
        <v>40</v>
      </c>
      <c r="B96" s="26">
        <f t="shared" si="2"/>
        <v>30394920.112319853</v>
      </c>
    </row>
    <row r="97" spans="1:2" x14ac:dyDescent="0.2">
      <c r="A97">
        <f t="shared" si="3"/>
        <v>41</v>
      </c>
      <c r="B97" s="26">
        <f t="shared" si="2"/>
        <v>29835950.118059143</v>
      </c>
    </row>
    <row r="98" spans="1:2" x14ac:dyDescent="0.2">
      <c r="A98">
        <f>A97+1</f>
        <v>42</v>
      </c>
      <c r="B98" s="26">
        <f t="shared" si="2"/>
        <v>29287259.718327034</v>
      </c>
    </row>
    <row r="99" spans="1:2" x14ac:dyDescent="0.2">
      <c r="A99">
        <f t="shared" si="3"/>
        <v>43</v>
      </c>
      <c r="B99" s="26">
        <f t="shared" si="2"/>
        <v>28748659.868872918</v>
      </c>
    </row>
    <row r="100" spans="1:2" x14ac:dyDescent="0.2">
      <c r="A100">
        <f t="shared" si="3"/>
        <v>44</v>
      </c>
      <c r="B100" s="26">
        <f t="shared" si="2"/>
        <v>28219965.002016105</v>
      </c>
    </row>
    <row r="101" spans="1:2" x14ac:dyDescent="0.2">
      <c r="A101">
        <f>A100+1</f>
        <v>45</v>
      </c>
      <c r="B101" s="26">
        <f t="shared" si="2"/>
        <v>27700992.962710731</v>
      </c>
    </row>
    <row r="102" spans="1:2" x14ac:dyDescent="0.2">
      <c r="A102">
        <f t="shared" si="3"/>
        <v>46</v>
      </c>
      <c r="B102" s="26">
        <f t="shared" si="2"/>
        <v>27191564.945786737</v>
      </c>
    </row>
    <row r="103" spans="1:2" x14ac:dyDescent="0.2">
      <c r="A103">
        <f t="shared" si="3"/>
        <v>47</v>
      </c>
      <c r="B103" s="26">
        <f t="shared" si="2"/>
        <v>26691505.434344709</v>
      </c>
    </row>
    <row r="104" spans="1:2" x14ac:dyDescent="0.2">
      <c r="A104">
        <f t="shared" si="3"/>
        <v>48</v>
      </c>
      <c r="B104" s="26">
        <f t="shared" si="2"/>
        <v>26200642.139283836</v>
      </c>
    </row>
    <row r="105" spans="1:2" x14ac:dyDescent="0.2">
      <c r="A105">
        <f t="shared" si="3"/>
        <v>49</v>
      </c>
      <c r="B105" s="26">
        <f t="shared" si="2"/>
        <v>25718805.939941891</v>
      </c>
    </row>
    <row r="106" spans="1:2" x14ac:dyDescent="0.2">
      <c r="A106">
        <f t="shared" si="3"/>
        <v>50</v>
      </c>
      <c r="B106" s="26">
        <f t="shared" si="2"/>
        <v>25245830.825826861</v>
      </c>
    </row>
    <row r="107" spans="1:2" x14ac:dyDescent="0.2">
      <c r="A107">
        <f t="shared" si="3"/>
        <v>51</v>
      </c>
      <c r="B107" s="26">
        <f t="shared" si="2"/>
        <v>24781553.839420192</v>
      </c>
    </row>
    <row r="108" spans="1:2" x14ac:dyDescent="0.2">
      <c r="A108">
        <f t="shared" si="3"/>
        <v>52</v>
      </c>
      <c r="B108" s="26">
        <f t="shared" si="2"/>
        <v>24325815.020031836</v>
      </c>
    </row>
    <row r="109" spans="1:2" x14ac:dyDescent="0.2">
      <c r="A109">
        <f t="shared" si="3"/>
        <v>53</v>
      </c>
      <c r="B109" s="26">
        <f t="shared" si="2"/>
        <v>23878457.348687839</v>
      </c>
    </row>
    <row r="110" spans="1:2" x14ac:dyDescent="0.2">
      <c r="A110">
        <f t="shared" si="3"/>
        <v>54</v>
      </c>
      <c r="B110" s="26">
        <f t="shared" si="2"/>
        <v>23439326.694031488</v>
      </c>
    </row>
    <row r="111" spans="1:2" x14ac:dyDescent="0.2">
      <c r="A111">
        <f t="shared" si="3"/>
        <v>55</v>
      </c>
      <c r="B111" s="26">
        <f t="shared" si="2"/>
        <v>23008271.759219296</v>
      </c>
    </row>
    <row r="112" spans="1:2" x14ac:dyDescent="0.2">
      <c r="A112">
        <f t="shared" si="3"/>
        <v>56</v>
      </c>
      <c r="B112" s="26">
        <f t="shared" si="2"/>
        <v>22585144.029793661</v>
      </c>
    </row>
    <row r="113" spans="1:2" x14ac:dyDescent="0.2">
      <c r="A113">
        <f t="shared" si="3"/>
        <v>57</v>
      </c>
      <c r="B113" s="26">
        <f t="shared" si="2"/>
        <v>22169797.722514044</v>
      </c>
    </row>
    <row r="114" spans="1:2" x14ac:dyDescent="0.2">
      <c r="A114">
        <f>A113+1</f>
        <v>58</v>
      </c>
      <c r="B114" s="26">
        <f t="shared" si="2"/>
        <v>21762089.735129274</v>
      </c>
    </row>
    <row r="115" spans="1:2" x14ac:dyDescent="0.2">
      <c r="A115">
        <f t="shared" si="3"/>
        <v>59</v>
      </c>
      <c r="B115" s="26">
        <f>$D$43*(1+$B$54)^-A115*(1+$B$53)^A115</f>
        <v>21361879.59707348</v>
      </c>
    </row>
    <row r="116" spans="1:2" x14ac:dyDescent="0.2">
      <c r="A116">
        <f t="shared" si="3"/>
        <v>60</v>
      </c>
      <c r="B116" s="26">
        <f t="shared" si="2"/>
        <v>20969029.421068776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R35"/>
  <sheetViews>
    <sheetView tabSelected="1" zoomScale="112" workbookViewId="0">
      <selection activeCell="C21" sqref="C21"/>
    </sheetView>
  </sheetViews>
  <sheetFormatPr baseColWidth="10" defaultColWidth="8.83203125" defaultRowHeight="15" x14ac:dyDescent="0.2"/>
  <cols>
    <col min="1" max="1" width="25" customWidth="1"/>
    <col min="2" max="2" width="30.1640625" customWidth="1"/>
    <col min="3" max="3" width="19.1640625" customWidth="1"/>
    <col min="4" max="5" width="19.5" customWidth="1"/>
    <col min="7" max="7" width="31.83203125" customWidth="1"/>
    <col min="8" max="8" width="14.6640625" customWidth="1"/>
    <col min="9" max="9" width="15.6640625" customWidth="1"/>
    <col min="10" max="10" width="12" customWidth="1"/>
    <col min="11" max="11" width="14.5" customWidth="1"/>
    <col min="12" max="12" width="12.83203125" customWidth="1"/>
    <col min="13" max="13" width="10.6640625" customWidth="1"/>
    <col min="14" max="14" width="11.6640625" customWidth="1"/>
    <col min="16" max="16" width="12.5" customWidth="1"/>
    <col min="18" max="18" width="12.83203125" customWidth="1"/>
  </cols>
  <sheetData>
    <row r="1" spans="1:14" s="12" customFormat="1" x14ac:dyDescent="0.2">
      <c r="A1" s="12" t="s">
        <v>82</v>
      </c>
      <c r="B1" s="12" t="s">
        <v>83</v>
      </c>
    </row>
    <row r="2" spans="1:14" x14ac:dyDescent="0.2">
      <c r="B2" s="1"/>
    </row>
    <row r="3" spans="1:14" ht="32" x14ac:dyDescent="0.2">
      <c r="A3" s="3" t="s">
        <v>1</v>
      </c>
      <c r="B3" s="1" t="s">
        <v>94</v>
      </c>
      <c r="C3" s="26">
        <f>10*D11*H15/H16</f>
        <v>20805103.668261562</v>
      </c>
      <c r="G3" t="s">
        <v>51</v>
      </c>
    </row>
    <row r="4" spans="1:14" ht="32" x14ac:dyDescent="0.2">
      <c r="A4" s="3"/>
      <c r="B4" s="1" t="s">
        <v>103</v>
      </c>
      <c r="C4" s="2">
        <f xml:space="preserve"> 0.05*C3</f>
        <v>1040255.1834130781</v>
      </c>
      <c r="G4" t="s">
        <v>52</v>
      </c>
      <c r="H4" s="7">
        <v>12</v>
      </c>
    </row>
    <row r="5" spans="1:14" ht="16" x14ac:dyDescent="0.2">
      <c r="A5" s="3"/>
      <c r="B5" s="4" t="s">
        <v>11</v>
      </c>
      <c r="C5" s="5">
        <f>C4</f>
        <v>1040255.1834130781</v>
      </c>
      <c r="G5" t="s">
        <v>53</v>
      </c>
      <c r="H5" s="7">
        <v>12</v>
      </c>
    </row>
    <row r="6" spans="1:14" x14ac:dyDescent="0.2">
      <c r="B6" s="1"/>
      <c r="G6" t="s">
        <v>54</v>
      </c>
      <c r="H6" s="7">
        <v>2</v>
      </c>
    </row>
    <row r="7" spans="1:14" x14ac:dyDescent="0.2">
      <c r="A7" s="3" t="s">
        <v>89</v>
      </c>
      <c r="B7" s="1"/>
      <c r="C7" s="39">
        <f>C5*52</f>
        <v>54093269.537480056</v>
      </c>
      <c r="G7" t="s">
        <v>55</v>
      </c>
      <c r="H7" s="7">
        <v>5</v>
      </c>
    </row>
    <row r="8" spans="1:14" x14ac:dyDescent="0.2">
      <c r="B8" s="1"/>
      <c r="G8" t="s">
        <v>57</v>
      </c>
      <c r="H8" s="7">
        <v>17</v>
      </c>
      <c r="I8" s="33" t="s">
        <v>86</v>
      </c>
    </row>
    <row r="9" spans="1:14" x14ac:dyDescent="0.2">
      <c r="B9" s="1"/>
      <c r="G9" t="s">
        <v>58</v>
      </c>
      <c r="H9" s="7">
        <v>27</v>
      </c>
    </row>
    <row r="10" spans="1:14" x14ac:dyDescent="0.2">
      <c r="A10" s="8" t="s">
        <v>102</v>
      </c>
      <c r="B10" s="1"/>
      <c r="C10" s="46" t="s">
        <v>47</v>
      </c>
      <c r="D10" s="46" t="s">
        <v>84</v>
      </c>
      <c r="E10" s="48"/>
      <c r="H10" s="13"/>
      <c r="I10" s="1"/>
      <c r="J10" s="1"/>
      <c r="K10" s="4"/>
      <c r="L10" s="1"/>
      <c r="M10" s="1"/>
      <c r="N10" s="4"/>
    </row>
    <row r="11" spans="1:14" ht="32" x14ac:dyDescent="0.2">
      <c r="A11" s="1" t="s">
        <v>46</v>
      </c>
      <c r="B11" s="36" t="s">
        <v>3</v>
      </c>
      <c r="C11" s="7">
        <v>3416</v>
      </c>
      <c r="D11" s="7">
        <v>2104</v>
      </c>
      <c r="G11" t="s">
        <v>59</v>
      </c>
      <c r="H11" s="13">
        <v>25</v>
      </c>
      <c r="I11" s="1"/>
      <c r="J11" s="1"/>
      <c r="K11" s="4"/>
      <c r="L11" s="1"/>
      <c r="M11" s="1"/>
      <c r="N11" s="4"/>
    </row>
    <row r="12" spans="1:14" ht="16" x14ac:dyDescent="0.2">
      <c r="B12" s="36" t="s">
        <v>45</v>
      </c>
      <c r="C12" s="7">
        <v>2742</v>
      </c>
      <c r="D12" s="7">
        <v>3089</v>
      </c>
      <c r="G12" t="s">
        <v>60</v>
      </c>
      <c r="H12" s="13">
        <v>20</v>
      </c>
      <c r="I12" s="1"/>
      <c r="J12" s="1"/>
      <c r="K12" s="4"/>
      <c r="L12" s="1"/>
      <c r="M12" s="1"/>
      <c r="N12" s="4"/>
    </row>
    <row r="13" spans="1:14" ht="16" x14ac:dyDescent="0.2">
      <c r="B13" s="36" t="s">
        <v>6</v>
      </c>
      <c r="C13" s="7">
        <v>3119</v>
      </c>
      <c r="D13" s="7">
        <v>3514</v>
      </c>
      <c r="H13" s="1"/>
      <c r="I13" s="1"/>
      <c r="J13" s="1"/>
      <c r="K13" s="4"/>
      <c r="L13" s="1"/>
      <c r="M13" s="1"/>
      <c r="N13" s="4"/>
    </row>
    <row r="14" spans="1:14" ht="16" x14ac:dyDescent="0.2">
      <c r="B14" s="36" t="s">
        <v>5</v>
      </c>
      <c r="C14" s="7">
        <v>235</v>
      </c>
      <c r="D14" s="7">
        <v>265</v>
      </c>
      <c r="G14" t="s">
        <v>74</v>
      </c>
      <c r="H14" s="13">
        <v>6.1500000000000001E-3</v>
      </c>
      <c r="I14" s="1"/>
      <c r="J14" s="1"/>
      <c r="K14" s="4"/>
      <c r="L14" s="1"/>
      <c r="M14" s="1"/>
      <c r="N14" s="4"/>
    </row>
    <row r="15" spans="1:14" ht="16" x14ac:dyDescent="0.2">
      <c r="B15" s="36" t="s">
        <v>49</v>
      </c>
      <c r="C15">
        <f>SUM(C11:C14)</f>
        <v>9512</v>
      </c>
      <c r="D15">
        <f>SUM(D11:D14)</f>
        <v>8972</v>
      </c>
      <c r="G15" t="s">
        <v>93</v>
      </c>
      <c r="H15" s="7">
        <v>1240000</v>
      </c>
      <c r="I15" s="1"/>
      <c r="J15" s="1"/>
      <c r="K15" s="4"/>
      <c r="L15" s="1"/>
      <c r="M15" s="1"/>
      <c r="N15" s="4"/>
    </row>
    <row r="16" spans="1:14" x14ac:dyDescent="0.2">
      <c r="B16" s="1"/>
      <c r="G16" t="s">
        <v>101</v>
      </c>
      <c r="H16" s="1">
        <v>1254</v>
      </c>
      <c r="I16" s="1"/>
      <c r="J16" s="1"/>
      <c r="K16" s="4"/>
      <c r="L16" s="1"/>
      <c r="M16" s="1"/>
      <c r="N16" s="4"/>
    </row>
    <row r="17" spans="1:18" x14ac:dyDescent="0.2">
      <c r="H17" s="1"/>
      <c r="I17" s="1"/>
      <c r="J17" s="1"/>
      <c r="K17" s="4"/>
      <c r="L17" s="1"/>
      <c r="M17" s="1"/>
      <c r="N17" s="4"/>
    </row>
    <row r="18" spans="1:18" x14ac:dyDescent="0.2">
      <c r="B18" s="1"/>
      <c r="G18" s="1"/>
      <c r="I18" s="1"/>
      <c r="K18" s="3"/>
      <c r="N18" s="3"/>
    </row>
    <row r="19" spans="1:18" x14ac:dyDescent="0.2">
      <c r="H19" s="3" t="s">
        <v>73</v>
      </c>
      <c r="I19" s="8" t="s">
        <v>102</v>
      </c>
      <c r="K19" s="33"/>
    </row>
    <row r="20" spans="1:18" x14ac:dyDescent="0.2">
      <c r="H20" s="21"/>
      <c r="I20" s="21" t="s">
        <v>10</v>
      </c>
      <c r="J20" s="21"/>
      <c r="K20" s="21"/>
      <c r="L20" s="17"/>
      <c r="M20" s="17" t="s">
        <v>68</v>
      </c>
      <c r="N20" s="17"/>
      <c r="O20" s="17"/>
      <c r="P20" s="17"/>
      <c r="Q20" s="22" t="s">
        <v>72</v>
      </c>
      <c r="R20" s="22"/>
    </row>
    <row r="21" spans="1:18" ht="64" x14ac:dyDescent="0.2">
      <c r="G21" t="s">
        <v>12</v>
      </c>
      <c r="H21" s="1" t="s">
        <v>7</v>
      </c>
      <c r="I21" s="1" t="s">
        <v>91</v>
      </c>
      <c r="J21" s="1" t="s">
        <v>92</v>
      </c>
      <c r="K21" s="4" t="s">
        <v>69</v>
      </c>
      <c r="L21" s="1" t="s">
        <v>67</v>
      </c>
      <c r="M21" s="1" t="s">
        <v>64</v>
      </c>
      <c r="N21" s="1" t="s">
        <v>66</v>
      </c>
      <c r="O21" s="1" t="s">
        <v>65</v>
      </c>
      <c r="P21" s="4" t="s">
        <v>9</v>
      </c>
      <c r="Q21" s="1" t="s">
        <v>70</v>
      </c>
      <c r="R21" s="1" t="s">
        <v>71</v>
      </c>
    </row>
    <row r="22" spans="1:18" ht="16" x14ac:dyDescent="0.2">
      <c r="B22" s="47"/>
      <c r="C22" s="46" t="s">
        <v>99</v>
      </c>
      <c r="D22" s="46" t="s">
        <v>100</v>
      </c>
      <c r="G22" s="1" t="s">
        <v>3</v>
      </c>
      <c r="H22" s="7">
        <v>23.3</v>
      </c>
      <c r="I22" s="15">
        <v>0</v>
      </c>
      <c r="J22" s="37">
        <v>0</v>
      </c>
      <c r="K22" s="38">
        <f>I22+J22</f>
        <v>0</v>
      </c>
      <c r="L22">
        <f>C11*H4-D11*H4</f>
        <v>15744</v>
      </c>
      <c r="M22" s="7">
        <v>192</v>
      </c>
      <c r="N22">
        <f>M22/1000000</f>
        <v>1.92E-4</v>
      </c>
      <c r="O22" s="7">
        <v>90</v>
      </c>
      <c r="P22" s="3">
        <f>L22*N22*O22</f>
        <v>272.05632000000003</v>
      </c>
      <c r="Q22" s="7">
        <f>(0.012+0.031)/2</f>
        <v>2.1499999999999998E-2</v>
      </c>
      <c r="R22">
        <f>L22*Q22</f>
        <v>338.49599999999998</v>
      </c>
    </row>
    <row r="23" spans="1:18" ht="16" x14ac:dyDescent="0.2">
      <c r="A23" s="3" t="s">
        <v>0</v>
      </c>
      <c r="B23" s="47" t="s">
        <v>14</v>
      </c>
      <c r="C23" s="26">
        <f>-10*D11</f>
        <v>-21040</v>
      </c>
      <c r="D23" s="26">
        <f>C23*$H$15/$H$16</f>
        <v>-20805103.668261562</v>
      </c>
      <c r="G23" s="1" t="s">
        <v>4</v>
      </c>
      <c r="H23" s="7">
        <v>14.4</v>
      </c>
      <c r="I23">
        <v>0</v>
      </c>
      <c r="J23" s="37">
        <f>0.5*(D12-C12)*H9*(H22-H23)/60</f>
        <v>694.86750000000006</v>
      </c>
      <c r="K23" s="38">
        <f>I23+J23</f>
        <v>694.86750000000006</v>
      </c>
      <c r="L23">
        <f>C12*H5-D12*H5</f>
        <v>-4164</v>
      </c>
      <c r="M23" s="7">
        <v>35</v>
      </c>
      <c r="N23">
        <f t="shared" ref="N23:N25" si="0">M23/1000000</f>
        <v>3.4999999999999997E-5</v>
      </c>
      <c r="O23" s="7">
        <v>90</v>
      </c>
      <c r="P23" s="3">
        <f>L23*N23*O23</f>
        <v>-13.116599999999998</v>
      </c>
      <c r="Q23">
        <v>0</v>
      </c>
      <c r="R23" s="19"/>
    </row>
    <row r="24" spans="1:18" ht="16" x14ac:dyDescent="0.2">
      <c r="B24" s="47" t="s">
        <v>2</v>
      </c>
      <c r="C24" s="26">
        <f>10*D11</f>
        <v>21040</v>
      </c>
      <c r="D24" s="26">
        <f t="shared" ref="D24:D27" si="1">C24*$H$15/$H$16</f>
        <v>20805103.668261562</v>
      </c>
      <c r="G24" s="1" t="s">
        <v>6</v>
      </c>
      <c r="H24" s="18"/>
      <c r="I24" s="19"/>
      <c r="J24" s="20"/>
      <c r="K24" s="20"/>
      <c r="L24">
        <f>D13*H6-C13*H6</f>
        <v>790</v>
      </c>
      <c r="M24" s="7">
        <v>0</v>
      </c>
      <c r="N24">
        <f t="shared" si="0"/>
        <v>0</v>
      </c>
      <c r="O24" s="7">
        <v>90</v>
      </c>
      <c r="P24" s="3">
        <f>L24*N24*O24</f>
        <v>0</v>
      </c>
      <c r="Q24">
        <v>0</v>
      </c>
      <c r="R24" s="19"/>
    </row>
    <row r="25" spans="1:18" ht="16" x14ac:dyDescent="0.2">
      <c r="B25" s="47" t="s">
        <v>10</v>
      </c>
      <c r="C25" s="26">
        <f>SUM(K22:K25)</f>
        <v>694.86750000000006</v>
      </c>
      <c r="D25" s="26">
        <f t="shared" si="1"/>
        <v>687109.80861244025</v>
      </c>
      <c r="G25" s="1" t="s">
        <v>5</v>
      </c>
      <c r="H25" s="18"/>
      <c r="I25" s="19"/>
      <c r="J25" s="19"/>
      <c r="K25" s="19"/>
      <c r="L25">
        <f>D14*H7-C14*H7</f>
        <v>150</v>
      </c>
      <c r="M25" s="7">
        <v>0</v>
      </c>
      <c r="N25">
        <f t="shared" si="0"/>
        <v>0</v>
      </c>
      <c r="O25" s="7">
        <v>90</v>
      </c>
      <c r="P25" s="3">
        <f>L25*M25*O25</f>
        <v>0</v>
      </c>
      <c r="Q25">
        <v>0</v>
      </c>
      <c r="R25" s="19"/>
    </row>
    <row r="26" spans="1:18" ht="16" x14ac:dyDescent="0.2">
      <c r="B26" s="47" t="s">
        <v>8</v>
      </c>
      <c r="C26" s="26">
        <f>SUM(P22:P25)</f>
        <v>258.93972000000002</v>
      </c>
      <c r="D26" s="26">
        <f t="shared" si="1"/>
        <v>256048.84593301435</v>
      </c>
      <c r="G26" s="1"/>
      <c r="H26" s="18"/>
      <c r="I26" s="19"/>
      <c r="J26" s="19"/>
      <c r="K26" s="19"/>
      <c r="M26" s="7"/>
      <c r="O26" s="7"/>
      <c r="P26" s="3"/>
      <c r="R26" s="19"/>
    </row>
    <row r="27" spans="1:18" ht="16" x14ac:dyDescent="0.2">
      <c r="B27" s="47" t="s">
        <v>87</v>
      </c>
      <c r="C27" s="26">
        <f>SUM(R22:R25)</f>
        <v>338.49599999999998</v>
      </c>
      <c r="D27" s="26">
        <f t="shared" si="1"/>
        <v>334716.93779904308</v>
      </c>
    </row>
    <row r="28" spans="1:18" ht="16" x14ac:dyDescent="0.2">
      <c r="B28" s="36" t="s">
        <v>11</v>
      </c>
      <c r="C28" s="39">
        <f>SUM(C24:C27)</f>
        <v>22332.303219999998</v>
      </c>
      <c r="D28" s="39">
        <f>SUM(D24:D27)</f>
        <v>22082979.260606058</v>
      </c>
    </row>
    <row r="29" spans="1:18" x14ac:dyDescent="0.2">
      <c r="B29" s="4"/>
      <c r="C29" s="5"/>
    </row>
    <row r="30" spans="1:18" ht="16" x14ac:dyDescent="0.2">
      <c r="A30" s="3" t="s">
        <v>90</v>
      </c>
      <c r="B30" s="4" t="s">
        <v>11</v>
      </c>
      <c r="C30" s="39">
        <f>C28*52</f>
        <v>1161279.7674399999</v>
      </c>
      <c r="D30" s="39">
        <f>D28*52</f>
        <v>1148314921.5515151</v>
      </c>
    </row>
    <row r="31" spans="1:18" x14ac:dyDescent="0.2">
      <c r="B31" s="1"/>
    </row>
    <row r="32" spans="1:18" x14ac:dyDescent="0.2">
      <c r="A32" s="42" t="s">
        <v>15</v>
      </c>
      <c r="B32" s="43">
        <f>D30/C7</f>
        <v>21.228425114068443</v>
      </c>
      <c r="C32" s="8" t="s">
        <v>88</v>
      </c>
    </row>
    <row r="33" spans="2:2" x14ac:dyDescent="0.2">
      <c r="B33" s="1"/>
    </row>
    <row r="34" spans="2:2" x14ac:dyDescent="0.2">
      <c r="B34" s="1"/>
    </row>
    <row r="35" spans="2:2" x14ac:dyDescent="0.2">
      <c r="B35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Heinonen  Sanelma</cp:lastModifiedBy>
  <dcterms:created xsi:type="dcterms:W3CDTF">2022-12-09T07:28:57Z</dcterms:created>
  <dcterms:modified xsi:type="dcterms:W3CDTF">2022-12-11T19:35:26Z</dcterms:modified>
</cp:coreProperties>
</file>