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hiba\IdeaProjects\Test\"/>
    </mc:Choice>
  </mc:AlternateContent>
  <xr:revisionPtr revIDLastSave="0" documentId="13_ncr:1_{054929CC-206D-4F89-85F0-2E9E0345C531}" xr6:coauthVersionLast="45" xr6:coauthVersionMax="45" xr10:uidLastSave="{00000000-0000-0000-0000-000000000000}"/>
  <bookViews>
    <workbookView xWindow="38676" yWindow="1793" windowWidth="18870" windowHeight="14129" tabRatio="648" activeTab="5" xr2:uid="{00000000-000D-0000-FFFF-FFFF00000000}"/>
  </bookViews>
  <sheets>
    <sheet name="DA" sheetId="90" r:id="rId1"/>
    <sheet name="DC" sheetId="105" r:id="rId2"/>
    <sheet name="DE" sheetId="106" r:id="rId3"/>
    <sheet name="DS" sheetId="108" r:id="rId4"/>
    <sheet name="GX" sheetId="111" r:id="rId5"/>
    <sheet name="DX" sheetId="10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09" l="1"/>
  <c r="B13" i="109"/>
  <c r="D13" i="106"/>
  <c r="C13" i="106"/>
  <c r="B13" i="106"/>
  <c r="D14" i="105"/>
  <c r="C14" i="105"/>
  <c r="B14" i="105"/>
  <c r="D15" i="90"/>
  <c r="C15" i="90"/>
  <c r="C9" i="109" l="1"/>
  <c r="C13" i="109"/>
  <c r="D9" i="109"/>
  <c r="B9" i="109"/>
  <c r="C9" i="106" l="1"/>
  <c r="B9" i="106"/>
  <c r="K18" i="111" l="1"/>
  <c r="L18" i="111" s="1"/>
  <c r="K19" i="111"/>
  <c r="L19" i="111" s="1"/>
  <c r="K20" i="111"/>
  <c r="K21" i="111"/>
  <c r="K22" i="111"/>
  <c r="K23" i="111"/>
  <c r="L23" i="111" s="1"/>
  <c r="K24" i="111"/>
  <c r="K25" i="111"/>
  <c r="K26" i="111"/>
  <c r="L26" i="111" s="1"/>
  <c r="K27" i="111"/>
  <c r="K28" i="111"/>
  <c r="K29" i="111"/>
  <c r="K30" i="111"/>
  <c r="L30" i="111" s="1"/>
  <c r="K31" i="111"/>
  <c r="L31" i="111" s="1"/>
  <c r="K32" i="111"/>
  <c r="K33" i="111"/>
  <c r="K34" i="111"/>
  <c r="L34" i="111" s="1"/>
  <c r="K35" i="111"/>
  <c r="K36" i="111"/>
  <c r="K37" i="111"/>
  <c r="K38" i="111"/>
  <c r="K39" i="111"/>
  <c r="L39" i="111" s="1"/>
  <c r="K40" i="111"/>
  <c r="K41" i="111"/>
  <c r="L41" i="111" s="1"/>
  <c r="K42" i="111"/>
  <c r="L42" i="111" s="1"/>
  <c r="K43" i="111"/>
  <c r="L43" i="111" s="1"/>
  <c r="K44" i="111"/>
  <c r="K45" i="111"/>
  <c r="K46" i="111"/>
  <c r="K47" i="111"/>
  <c r="L47" i="111" s="1"/>
  <c r="K48" i="111"/>
  <c r="K49" i="111"/>
  <c r="K50" i="111"/>
  <c r="L50" i="111" s="1"/>
  <c r="K51" i="111"/>
  <c r="K52" i="111"/>
  <c r="K53" i="111"/>
  <c r="K54" i="111"/>
  <c r="L54" i="111" s="1"/>
  <c r="K55" i="111"/>
  <c r="L55" i="111" s="1"/>
  <c r="K56" i="111"/>
  <c r="K57" i="111"/>
  <c r="K58" i="111"/>
  <c r="L58" i="111" s="1"/>
  <c r="L20" i="111"/>
  <c r="L21" i="111"/>
  <c r="L22" i="111"/>
  <c r="L24" i="111"/>
  <c r="L25" i="111"/>
  <c r="L27" i="111"/>
  <c r="L28" i="111"/>
  <c r="L29" i="111"/>
  <c r="L32" i="111"/>
  <c r="L33" i="111"/>
  <c r="L35" i="111"/>
  <c r="L36" i="111"/>
  <c r="L37" i="111"/>
  <c r="L38" i="111"/>
  <c r="L40" i="111"/>
  <c r="L44" i="111"/>
  <c r="L45" i="111"/>
  <c r="L46" i="111"/>
  <c r="L48" i="111"/>
  <c r="L49" i="111"/>
  <c r="L51" i="111"/>
  <c r="L52" i="111"/>
  <c r="L53" i="111"/>
  <c r="L56" i="111"/>
  <c r="L57" i="111"/>
  <c r="L42" i="108"/>
  <c r="L43" i="108"/>
  <c r="K41" i="108"/>
  <c r="L41" i="108" s="1"/>
  <c r="K42" i="108"/>
  <c r="K43" i="108"/>
  <c r="K44" i="108"/>
  <c r="L44" i="108" s="1"/>
  <c r="K45" i="108"/>
  <c r="L45" i="108" s="1"/>
  <c r="K46" i="108"/>
  <c r="L46" i="108" s="1"/>
  <c r="K47" i="108"/>
  <c r="K48" i="108"/>
  <c r="K49" i="108"/>
  <c r="L49" i="108" s="1"/>
  <c r="K50" i="108"/>
  <c r="L50" i="108" s="1"/>
  <c r="K51" i="108"/>
  <c r="L51" i="108" s="1"/>
  <c r="K52" i="108"/>
  <c r="K53" i="108"/>
  <c r="L53" i="108" s="1"/>
  <c r="K54" i="108"/>
  <c r="L54" i="108" s="1"/>
  <c r="K55" i="108"/>
  <c r="K56" i="108"/>
  <c r="K57" i="108"/>
  <c r="L57" i="108" s="1"/>
  <c r="K58" i="108"/>
  <c r="L58" i="108" s="1"/>
  <c r="K59" i="108"/>
  <c r="L59" i="108" s="1"/>
  <c r="K60" i="108"/>
  <c r="K61" i="108"/>
  <c r="L61" i="108" s="1"/>
  <c r="K62" i="108"/>
  <c r="L62" i="108" s="1"/>
  <c r="K63" i="108"/>
  <c r="K64" i="108"/>
  <c r="K65" i="108"/>
  <c r="L65" i="108" s="1"/>
  <c r="K66" i="108"/>
  <c r="L66" i="108" s="1"/>
  <c r="K67" i="108"/>
  <c r="L67" i="108" s="1"/>
  <c r="L47" i="108"/>
  <c r="L48" i="108"/>
  <c r="L52" i="108"/>
  <c r="L55" i="108"/>
  <c r="L56" i="108"/>
  <c r="L60" i="108"/>
  <c r="L63" i="108"/>
  <c r="L64" i="108"/>
  <c r="K15" i="108"/>
  <c r="L15" i="108" s="1"/>
  <c r="D71" i="90"/>
  <c r="B20" i="109" l="1"/>
  <c r="K9" i="111" l="1"/>
  <c r="L9" i="111" s="1"/>
  <c r="K13" i="111"/>
  <c r="L13" i="111" s="1"/>
  <c r="K17" i="111"/>
  <c r="L17" i="111" s="1"/>
  <c r="D59" i="111"/>
  <c r="C59" i="111"/>
  <c r="B59" i="111"/>
  <c r="D14" i="111"/>
  <c r="C14" i="111"/>
  <c r="B14" i="111"/>
  <c r="D10" i="111"/>
  <c r="C10" i="111"/>
  <c r="B10" i="111"/>
  <c r="K19" i="109"/>
  <c r="L19" i="109" s="1"/>
  <c r="K12" i="109"/>
  <c r="L12" i="109" s="1"/>
  <c r="K8" i="109"/>
  <c r="L8" i="109"/>
  <c r="K11" i="108"/>
  <c r="L11" i="108" s="1"/>
  <c r="K19" i="106"/>
  <c r="L19" i="106" s="1"/>
  <c r="K12" i="106"/>
  <c r="L12" i="106" s="1"/>
  <c r="K8" i="106"/>
  <c r="L8" i="106" s="1"/>
  <c r="K13" i="105"/>
  <c r="L13" i="105" s="1"/>
  <c r="D21" i="105"/>
  <c r="K70" i="90"/>
  <c r="L70" i="90" s="1"/>
  <c r="K22" i="108" l="1"/>
  <c r="K9" i="90" l="1"/>
  <c r="L9" i="90" s="1"/>
  <c r="K23" i="108" l="1"/>
  <c r="L23" i="108" s="1"/>
  <c r="K27" i="108"/>
  <c r="L27" i="108" s="1"/>
  <c r="K29" i="108"/>
  <c r="L29" i="108" s="1"/>
  <c r="K32" i="108"/>
  <c r="L32" i="108" s="1"/>
  <c r="K26" i="108"/>
  <c r="L26" i="108" s="1"/>
  <c r="K66" i="90"/>
  <c r="L66" i="90" s="1"/>
  <c r="C20" i="109" l="1"/>
  <c r="D20" i="109"/>
  <c r="C68" i="108"/>
  <c r="D68" i="108"/>
  <c r="B68" i="108"/>
  <c r="C17" i="108"/>
  <c r="D17" i="108"/>
  <c r="B17" i="108"/>
  <c r="C71" i="90"/>
  <c r="C21" i="105"/>
  <c r="B21" i="105"/>
  <c r="C20" i="106"/>
  <c r="D20" i="106"/>
  <c r="B20" i="106"/>
  <c r="D9" i="106"/>
  <c r="C12" i="108"/>
  <c r="D12" i="108"/>
  <c r="B12" i="108"/>
  <c r="K18" i="109" l="1"/>
  <c r="L18" i="109" s="1"/>
  <c r="K17" i="109"/>
  <c r="L17" i="109" s="1"/>
  <c r="K16" i="109"/>
  <c r="L16" i="109" s="1"/>
  <c r="K37" i="108"/>
  <c r="L37" i="108" s="1"/>
  <c r="K38" i="108"/>
  <c r="L38" i="108" s="1"/>
  <c r="K20" i="108"/>
  <c r="L20" i="108" s="1"/>
  <c r="K39" i="108"/>
  <c r="L39" i="108" s="1"/>
  <c r="K40" i="108"/>
  <c r="L40" i="108" s="1"/>
  <c r="K33" i="108"/>
  <c r="L33" i="108" s="1"/>
  <c r="K28" i="108"/>
  <c r="L28" i="108" s="1"/>
  <c r="K36" i="108"/>
  <c r="L36" i="108" s="1"/>
  <c r="L22" i="108"/>
  <c r="K24" i="108"/>
  <c r="L24" i="108" s="1"/>
  <c r="K21" i="108"/>
  <c r="L21" i="108" s="1"/>
  <c r="K25" i="108"/>
  <c r="L25" i="108" s="1"/>
  <c r="K31" i="108"/>
  <c r="L31" i="108" s="1"/>
  <c r="K30" i="108"/>
  <c r="L30" i="108" s="1"/>
  <c r="K35" i="108"/>
  <c r="L35" i="108" s="1"/>
  <c r="K34" i="108"/>
  <c r="L34" i="108" s="1"/>
  <c r="K18" i="106"/>
  <c r="L18" i="106" s="1"/>
  <c r="K17" i="106"/>
  <c r="L17" i="106" s="1"/>
  <c r="K16" i="106"/>
  <c r="L16" i="106" s="1"/>
  <c r="K20" i="105"/>
  <c r="L20" i="105" s="1"/>
  <c r="K19" i="105"/>
  <c r="L19" i="105" s="1"/>
  <c r="K18" i="105"/>
  <c r="L18" i="105" s="1"/>
  <c r="K17" i="105"/>
  <c r="L17" i="105" s="1"/>
  <c r="K8" i="105"/>
  <c r="L8" i="105" s="1"/>
  <c r="K38" i="90"/>
  <c r="L38" i="90" s="1"/>
  <c r="K56" i="90"/>
  <c r="L56" i="90" s="1"/>
  <c r="K33" i="90"/>
  <c r="L33" i="90" s="1"/>
  <c r="K40" i="90"/>
  <c r="L40" i="90" s="1"/>
  <c r="K68" i="90"/>
  <c r="L68" i="90" s="1"/>
  <c r="K44" i="90"/>
  <c r="L44" i="90" s="1"/>
  <c r="K39" i="90"/>
  <c r="L39" i="90" s="1"/>
  <c r="K34" i="90"/>
  <c r="L34" i="90" s="1"/>
  <c r="K63" i="90"/>
  <c r="L63" i="90" s="1"/>
  <c r="K19" i="90"/>
  <c r="L19" i="90" s="1"/>
  <c r="K35" i="90"/>
  <c r="L35" i="90" s="1"/>
  <c r="K58" i="90"/>
  <c r="L58" i="90" s="1"/>
  <c r="K22" i="90"/>
  <c r="L22" i="90" s="1"/>
  <c r="K18" i="90"/>
  <c r="L18" i="90" s="1"/>
  <c r="K47" i="90"/>
  <c r="L47" i="90" s="1"/>
  <c r="K52" i="90"/>
  <c r="L52" i="90" s="1"/>
  <c r="K46" i="90"/>
  <c r="L46" i="90" s="1"/>
  <c r="K61" i="90"/>
  <c r="L61" i="90" s="1"/>
  <c r="K37" i="90"/>
  <c r="L37" i="90" s="1"/>
  <c r="K28" i="90"/>
  <c r="L28" i="90" s="1"/>
  <c r="K65" i="90"/>
  <c r="L65" i="90" s="1"/>
  <c r="K59" i="90"/>
  <c r="L59" i="90" s="1"/>
  <c r="K45" i="90"/>
  <c r="L45" i="90" s="1"/>
  <c r="K69" i="90"/>
  <c r="L69" i="90" s="1"/>
  <c r="K60" i="90"/>
  <c r="L60" i="90" s="1"/>
  <c r="K51" i="90"/>
  <c r="L51" i="90" s="1"/>
  <c r="K25" i="90"/>
  <c r="L25" i="90" s="1"/>
  <c r="K42" i="90"/>
  <c r="L42" i="90" s="1"/>
  <c r="K50" i="90"/>
  <c r="L50" i="90" s="1"/>
  <c r="K43" i="90"/>
  <c r="L43" i="90" s="1"/>
  <c r="K32" i="90"/>
  <c r="L32" i="90" s="1"/>
  <c r="K55" i="90"/>
  <c r="L55" i="90" s="1"/>
  <c r="K53" i="90"/>
  <c r="L53" i="90" s="1"/>
  <c r="K20" i="90"/>
  <c r="L20" i="90" s="1"/>
  <c r="K24" i="90"/>
  <c r="L24" i="90" s="1"/>
  <c r="K29" i="90"/>
  <c r="L29" i="90" s="1"/>
  <c r="K57" i="90"/>
  <c r="L57" i="90" s="1"/>
  <c r="K49" i="90"/>
  <c r="L49" i="90" s="1"/>
  <c r="K21" i="90"/>
  <c r="L21" i="90" s="1"/>
  <c r="K27" i="90"/>
  <c r="L27" i="90" s="1"/>
  <c r="K41" i="90"/>
  <c r="L41" i="90" s="1"/>
  <c r="K23" i="90"/>
  <c r="L23" i="90" s="1"/>
  <c r="K54" i="90"/>
  <c r="L54" i="90" s="1"/>
  <c r="K30" i="90"/>
  <c r="L30" i="90" s="1"/>
  <c r="K67" i="90"/>
  <c r="L67" i="90" s="1"/>
  <c r="K64" i="90"/>
  <c r="L64" i="90" s="1"/>
  <c r="K48" i="90"/>
  <c r="L48" i="90" s="1"/>
  <c r="K26" i="90"/>
  <c r="L26" i="90" s="1"/>
  <c r="K31" i="90"/>
  <c r="L31" i="90" s="1"/>
  <c r="K36" i="90"/>
  <c r="L36" i="90" s="1"/>
  <c r="K62" i="90"/>
  <c r="L62" i="90" s="1"/>
  <c r="B15" i="90" l="1"/>
  <c r="K14" i="90"/>
  <c r="L14" i="90" s="1"/>
  <c r="B71" i="90"/>
</calcChain>
</file>

<file path=xl/sharedStrings.xml><?xml version="1.0" encoding="utf-8"?>
<sst xmlns="http://schemas.openxmlformats.org/spreadsheetml/2006/main" count="408" uniqueCount="178">
  <si>
    <t>Nombre de ligne du 
schéma A absente du B</t>
  </si>
  <si>
    <t>Nombre de ligne du 
schéma B absente du A</t>
  </si>
  <si>
    <t>Nom de la table</t>
  </si>
  <si>
    <t xml:space="preserve">Nombre de lignes présentent 
dans les deux schémas 
mais ayant un contenu différent </t>
  </si>
  <si>
    <t>Nombre de ligne 
Schema A</t>
  </si>
  <si>
    <t>AVANT FLUX</t>
  </si>
  <si>
    <t>Nombre d'administré distinct dans le schéma A</t>
  </si>
  <si>
    <t>Nombre d'administré
 distinct avec des différences</t>
  </si>
  <si>
    <t>Nombre
 d'administré distinct</t>
  </si>
  <si>
    <t>Nombre d'administré distinct dans le schéma B</t>
  </si>
  <si>
    <t>Différence en % par rapport au nombre de ligne du Schéma A</t>
  </si>
  <si>
    <t>Nombre de ligne 
Schema B</t>
  </si>
  <si>
    <t>Liste des tables avec des différences de structure (non comparable)</t>
  </si>
  <si>
    <t>APRES MASSE</t>
  </si>
  <si>
    <t>APRES VALO</t>
  </si>
  <si>
    <t>Ratio</t>
  </si>
  <si>
    <t>AFFECTATION</t>
  </si>
  <si>
    <t>ALERTE_OPER</t>
  </si>
  <si>
    <t>CAMPAGNE</t>
  </si>
  <si>
    <t>CORPS_GRADE</t>
  </si>
  <si>
    <t>DROIT_ENFANT</t>
  </si>
  <si>
    <t>ECHELLE</t>
  </si>
  <si>
    <t>EMPLOI</t>
  </si>
  <si>
    <t>ENFANT</t>
  </si>
  <si>
    <t>HIERARCHIE</t>
  </si>
  <si>
    <t>HORSMETRO</t>
  </si>
  <si>
    <t>LOGEMENT</t>
  </si>
  <si>
    <t>MITHA</t>
  </si>
  <si>
    <t>NBI</t>
  </si>
  <si>
    <t>NEDEX</t>
  </si>
  <si>
    <t>OUTREMER</t>
  </si>
  <si>
    <t>PERMISSION</t>
  </si>
  <si>
    <t>REF_BANC</t>
  </si>
  <si>
    <t>SERVICE_AERIEN</t>
  </si>
  <si>
    <t>SITUATION</t>
  </si>
  <si>
    <t>SOLDE_STATUT</t>
  </si>
  <si>
    <t>TROP_PERCU</t>
  </si>
  <si>
    <t>ADRESSE</t>
  </si>
  <si>
    <t>DIVERS</t>
  </si>
  <si>
    <t>PERIODE_FLUX</t>
  </si>
  <si>
    <t>PERSONNE</t>
  </si>
  <si>
    <t>DECOMPTE_INDIV</t>
  </si>
  <si>
    <t>DECOMPTE_INDIV_HIS</t>
  </si>
  <si>
    <t>RAP_EXP_IND</t>
  </si>
  <si>
    <t>STRUCT_HISTO</t>
  </si>
  <si>
    <t>RETRO_CALC</t>
  </si>
  <si>
    <t>DIFM_ERREUR</t>
  </si>
  <si>
    <t>ADMINISTRE</t>
  </si>
  <si>
    <t>ALLOCATAIRE</t>
  </si>
  <si>
    <t>ARP</t>
  </si>
  <si>
    <t>AVANTAGES_NATURE</t>
  </si>
  <si>
    <t>COFSMA</t>
  </si>
  <si>
    <t>CONJOINT</t>
  </si>
  <si>
    <t>DETACH</t>
  </si>
  <si>
    <t>DROIT_UNITE</t>
  </si>
  <si>
    <t>GUERRE</t>
  </si>
  <si>
    <t>HANDICAP_ENFANT</t>
  </si>
  <si>
    <t>IMPOSITION</t>
  </si>
  <si>
    <t>INDEMNITE_CONGE</t>
  </si>
  <si>
    <t>LEGION</t>
  </si>
  <si>
    <t>LOGT_ETR</t>
  </si>
  <si>
    <t>LOLF</t>
  </si>
  <si>
    <t>MALADIE</t>
  </si>
  <si>
    <t>NON_SOLDE</t>
  </si>
  <si>
    <t>ORIGINE</t>
  </si>
  <si>
    <t>PAYS</t>
  </si>
  <si>
    <t>PERMANENCE</t>
  </si>
  <si>
    <t>PRIOSC</t>
  </si>
  <si>
    <t>QUALIFICATION</t>
  </si>
  <si>
    <t>RAFP_LIQUIDATION</t>
  </si>
  <si>
    <t>SCAPHANDRE</t>
  </si>
  <si>
    <t>SERVICE_MARITIME</t>
  </si>
  <si>
    <t>SOUS_MARIN</t>
  </si>
  <si>
    <t>TAAF</t>
  </si>
  <si>
    <t>TRANSPORT</t>
  </si>
  <si>
    <t>COMPTEURS_SMA</t>
  </si>
  <si>
    <t>COMPTEUR_ENFANT</t>
  </si>
  <si>
    <t>CUMUL_HISTO</t>
  </si>
  <si>
    <t>CUMUL_SDI</t>
  </si>
  <si>
    <t>IDEGRE</t>
  </si>
  <si>
    <t>IMPOTS</t>
  </si>
  <si>
    <t>INDICE_GARPACHAT</t>
  </si>
  <si>
    <t>OPPO_RESTANT</t>
  </si>
  <si>
    <t>PAIDI_VIREMENT</t>
  </si>
  <si>
    <t>PAIMT_DIFFERE</t>
  </si>
  <si>
    <t>PARAM_NETAP</t>
  </si>
  <si>
    <t>SUIVI_CAMPAGNE</t>
  </si>
  <si>
    <t>SUIVI_COMCSG</t>
  </si>
  <si>
    <t>SUIVI_DIFF</t>
  </si>
  <si>
    <t>SUIVI_ETCO</t>
  </si>
  <si>
    <t>SUIVI_ETRANGER</t>
  </si>
  <si>
    <t>SUIVI_OUTREMER</t>
  </si>
  <si>
    <t>SUIVI_PAIEMENT_CABA</t>
  </si>
  <si>
    <t>SUIVI_PAS</t>
  </si>
  <si>
    <t>SUIVI_PECULES</t>
  </si>
  <si>
    <t>SUIVI_PREVOYANCE</t>
  </si>
  <si>
    <t>SUIVI_SITUATION</t>
  </si>
  <si>
    <t>VERSION_LOUVOIS</t>
  </si>
  <si>
    <t>PAS_FICHIER_PASRAU</t>
  </si>
  <si>
    <t>DIAGNOSTIC</t>
  </si>
  <si>
    <t>EDITION_BMS</t>
  </si>
  <si>
    <t>EDIT_EVT</t>
  </si>
  <si>
    <t>HISTO_CYCLES</t>
  </si>
  <si>
    <t>INDIC_EXEC</t>
  </si>
  <si>
    <t>LST_CRUD_NID</t>
  </si>
  <si>
    <t>PARAM_CYCLE</t>
  </si>
  <si>
    <t>PARAM_EDIT_ITFX</t>
  </si>
  <si>
    <t>PARAM_INT_NCI</t>
  </si>
  <si>
    <t>PAS_ADMIN</t>
  </si>
  <si>
    <t>PAS_EMETTEUR</t>
  </si>
  <si>
    <t>PAS_EVENT_PASRAU</t>
  </si>
  <si>
    <t>REJET</t>
  </si>
  <si>
    <t>REJET_DATA</t>
  </si>
  <si>
    <t>SUIVI_ADM_CLOTURE</t>
  </si>
  <si>
    <t>SUIVI_ADM_QUOTIDIEN</t>
  </si>
  <si>
    <t>SUIVI_ADM_RETOUR</t>
  </si>
  <si>
    <t>SUIVI_ADM_STAT</t>
  </si>
  <si>
    <t>SUIVI_BMS</t>
  </si>
  <si>
    <t>SUIVI_BMS_DUPLICATA</t>
  </si>
  <si>
    <t>SUIVI_DEMANDES</t>
  </si>
  <si>
    <t>SUIVI_EDIT_ITFX</t>
  </si>
  <si>
    <t>SUIVI_EXEC_CUMULS</t>
  </si>
  <si>
    <t>SUIVI_FLUX_SIRH</t>
  </si>
  <si>
    <t>SUIVI_INDIC_EXEC</t>
  </si>
  <si>
    <t>SUIVI_MODIF_NID</t>
  </si>
  <si>
    <t>SUIVI_PROC_STOCK</t>
  </si>
  <si>
    <t>SUIVI_RETOUR_SOLDE</t>
  </si>
  <si>
    <t>SUIVI_SEQ_SCENARIO</t>
  </si>
  <si>
    <t>SUIVI_TDB</t>
  </si>
  <si>
    <t>T_REGLE_HISTO</t>
  </si>
  <si>
    <t>PLS</t>
  </si>
  <si>
    <t>SUIVI_PAIMNT_ANTICIP</t>
  </si>
  <si>
    <t>C_SUIVI_PAIMNT_ANTICIP</t>
  </si>
  <si>
    <t>SUIVI_DEDU</t>
  </si>
  <si>
    <t>C_SUIVI_DEDU</t>
  </si>
  <si>
    <t>CONTRAT</t>
  </si>
  <si>
    <t>IMPOTS_SOURCE</t>
  </si>
  <si>
    <t>JAPD</t>
  </si>
  <si>
    <t>OPPOSITION</t>
  </si>
  <si>
    <t>PRATICIEN</t>
  </si>
  <si>
    <t>REM_PAYS_ORG_INTER</t>
  </si>
  <si>
    <t>Schéma A: 07.19.00.d.r01  Schéma B: 07.20.00.d.r02</t>
  </si>
  <si>
    <t>C_COMPTEUR_ENFANT</t>
  </si>
  <si>
    <t>C_CUMUL_SDI</t>
  </si>
  <si>
    <t>C_IDEGRE</t>
  </si>
  <si>
    <t>C_INDICE_GARPACHAT</t>
  </si>
  <si>
    <t>C_OPPO_RESTANT</t>
  </si>
  <si>
    <t>C_PAIDI_VIREMENT</t>
  </si>
  <si>
    <t>C_PAIMT_DIFFERE</t>
  </si>
  <si>
    <t>C_PARAM_NETAP</t>
  </si>
  <si>
    <t>C_SUIVI_CAMPAGNE</t>
  </si>
  <si>
    <t>C_SUIVI_COMCSG</t>
  </si>
  <si>
    <t>C_SUIVI_DIFF</t>
  </si>
  <si>
    <t>C_SUIVI_ENSEIGNEMENT</t>
  </si>
  <si>
    <t>C_SUIVI_ETCO</t>
  </si>
  <si>
    <t>C_SUIVI_ETRANGER</t>
  </si>
  <si>
    <t>C_SUIVI_LYCEE</t>
  </si>
  <si>
    <t>C_SUIVI_PAIEMENT_CABA</t>
  </si>
  <si>
    <t>C_SUIVI_PAS</t>
  </si>
  <si>
    <t>C_SUIVI_PECULES</t>
  </si>
  <si>
    <t>C_SUIVI_PREVOYANCE</t>
  </si>
  <si>
    <t>C_SUIVI_SITUATION</t>
  </si>
  <si>
    <t>ENGA</t>
  </si>
  <si>
    <t>HISTO_PLONGEE</t>
  </si>
  <si>
    <t>SUIVI_COMCSG_RDD</t>
  </si>
  <si>
    <t>SUIVI_ENSEIGNEMENT</t>
  </si>
  <si>
    <t>SUIVI_LYCEE</t>
  </si>
  <si>
    <t>ETL_CALCULS</t>
  </si>
  <si>
    <t>PARAM_CENTRE</t>
  </si>
  <si>
    <t>CALC_IMPOTS</t>
  </si>
  <si>
    <t>CALC_IMPOTS_STATUT</t>
  </si>
  <si>
    <t>PAS_CRM_NOM_ADM</t>
  </si>
  <si>
    <t>PAS_EXCLUSION</t>
  </si>
  <si>
    <t>PAS_PASVAL_ANO</t>
  </si>
  <si>
    <t>SUIVI_DEMANDES_RETRO</t>
  </si>
  <si>
    <t>SUIVI_FICHIERS_CHORUS</t>
  </si>
  <si>
    <t>SUIVI_LOG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</si>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</sst>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0.000%"/>
  </numFmts>
  <fonts count="3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25"/>
      <name val="Calibri"/>
      <family val="2"/>
    </font>
    <font>
      <sz val="11"/>
      <color indexed="57"/>
      <name val="Calibri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indexed="56"/>
      <name val="Calibri"/>
      <family val="2"/>
    </font>
    <font>
      <b/>
      <sz val="20"/>
      <color indexed="56"/>
      <name val="Cambria"/>
      <family val="2"/>
    </font>
    <font>
      <sz val="12"/>
      <color rgb="FF000000"/>
      <name val="Arial"/>
      <family val="2"/>
    </font>
    <font>
      <sz val="12"/>
      <color theme="1"/>
      <name val="Arial"/>
    </font>
    <font>
      <sz val="12"/>
      <color rgb="FF000000"/>
      <name val="Arial"/>
    </font>
    <font>
      <b/>
      <sz val="12"/>
      <color theme="0"/>
      <name val="Calibri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39"/>
      </patternFill>
    </fill>
    <fill>
      <patternFill patternType="solid">
        <fgColor indexed="45"/>
        <bgColor indexed="28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29"/>
        <bgColor indexed="33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16"/>
      </patternFill>
    </fill>
    <fill>
      <patternFill patternType="solid">
        <fgColor indexed="49"/>
        <bgColor indexed="15"/>
      </patternFill>
    </fill>
    <fill>
      <patternFill patternType="solid">
        <fgColor indexed="52"/>
        <bgColor indexed="60"/>
      </patternFill>
    </fill>
    <fill>
      <patternFill patternType="solid">
        <fgColor indexed="62"/>
        <bgColor indexed="18"/>
      </patternFill>
    </fill>
    <fill>
      <patternFill patternType="solid">
        <fgColor indexed="10"/>
        <bgColor indexed="37"/>
      </patternFill>
    </fill>
    <fill>
      <patternFill patternType="darkGray">
        <fgColor indexed="57"/>
        <bgColor indexed="38"/>
      </patternFill>
    </fill>
    <fill>
      <patternFill patternType="solid">
        <fgColor indexed="53"/>
        <bgColor indexed="60"/>
      </patternFill>
    </fill>
    <fill>
      <patternFill patternType="solid">
        <fgColor indexed="22"/>
        <bgColor indexed="58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34"/>
      </patternFill>
    </fill>
    <fill>
      <patternFill patternType="darkGray">
        <fgColor indexed="55"/>
        <bgColor indexed="3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8">
    <xf numFmtId="0" fontId="0" fillId="0" borderId="0"/>
    <xf numFmtId="0" fontId="18" fillId="0" borderId="0"/>
    <xf numFmtId="0" fontId="19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20" borderId="1" applyNumberFormat="0" applyAlignment="0" applyProtection="0"/>
    <xf numFmtId="0" fontId="7" fillId="0" borderId="2" applyNumberFormat="0" applyFill="0" applyAlignment="0" applyProtection="0"/>
    <xf numFmtId="0" fontId="3" fillId="21" borderId="3" applyNumberFormat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20" fillId="22" borderId="0" applyNumberFormat="0" applyBorder="0" applyAlignment="0" applyProtection="0"/>
    <xf numFmtId="0" fontId="21" fillId="4" borderId="0" applyNumberFormat="0" applyBorder="0" applyAlignment="0" applyProtection="0"/>
    <xf numFmtId="0" fontId="10" fillId="20" borderId="4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23" borderId="9" applyNumberFormat="0" applyAlignment="0" applyProtection="0"/>
    <xf numFmtId="0" fontId="1" fillId="0" borderId="0"/>
    <xf numFmtId="9" fontId="18" fillId="0" borderId="0" applyFont="0" applyFill="0" applyBorder="0" applyAlignment="0" applyProtection="0"/>
  </cellStyleXfs>
  <cellXfs count="39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NumberFormat="1"/>
    <xf numFmtId="0" fontId="0" fillId="0" borderId="0" xfId="0" applyNumberFormat="1" applyAlignment="1">
      <alignment horizontal="center" wrapText="1"/>
    </xf>
    <xf numFmtId="0" fontId="22" fillId="0" borderId="0" xfId="0" applyFont="1"/>
    <xf numFmtId="0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/>
    <xf numFmtId="0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5" xfId="50" applyFont="1" applyAlignment="1">
      <alignment horizontal="center" wrapText="1"/>
    </xf>
    <xf numFmtId="165" fontId="25" fillId="0" borderId="0" xfId="57" applyNumberFormat="1" applyFont="1" applyAlignment="1">
      <alignment horizontal="center"/>
    </xf>
    <xf numFmtId="165" fontId="22" fillId="0" borderId="0" xfId="57" applyNumberFormat="1" applyFont="1" applyAlignment="1">
      <alignment horizontal="center"/>
    </xf>
    <xf numFmtId="0" fontId="26" fillId="0" borderId="0" xfId="0" applyFont="1"/>
    <xf numFmtId="0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65" fontId="26" fillId="0" borderId="0" xfId="57" applyNumberFormat="1" applyFont="1" applyAlignment="1">
      <alignment horizontal="center"/>
    </xf>
    <xf numFmtId="0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0" borderId="0" xfId="0" applyFont="1"/>
    <xf numFmtId="0" fontId="27" fillId="0" borderId="0" xfId="0" applyNumberFormat="1" applyFont="1" applyAlignment="1">
      <alignment horizontal="center"/>
    </xf>
    <xf numFmtId="0" fontId="12" fillId="0" borderId="0" xfId="49" applyAlignment="1"/>
    <xf numFmtId="165" fontId="27" fillId="0" borderId="0" xfId="57" applyNumberFormat="1" applyFont="1" applyAlignment="1">
      <alignment horizontal="center"/>
    </xf>
    <xf numFmtId="0" fontId="30" fillId="0" borderId="0" xfId="0" applyNumberFormat="1" applyFont="1" applyAlignment="1">
      <alignment horizontal="center"/>
    </xf>
    <xf numFmtId="1" fontId="30" fillId="0" borderId="0" xfId="0" applyNumberFormat="1" applyFont="1" applyAlignment="1">
      <alignment horizontal="center"/>
    </xf>
    <xf numFmtId="0" fontId="22" fillId="0" borderId="0" xfId="57" applyNumberFormat="1" applyFont="1" applyAlignment="1">
      <alignment horizontal="center"/>
    </xf>
    <xf numFmtId="0" fontId="31" fillId="0" borderId="0" xfId="0" applyFont="1"/>
    <xf numFmtId="0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" fontId="32" fillId="0" borderId="0" xfId="0" applyNumberFormat="1" applyFont="1" applyAlignment="1">
      <alignment horizontal="center"/>
    </xf>
    <xf numFmtId="165" fontId="31" fillId="0" borderId="0" xfId="57" applyNumberFormat="1" applyFont="1" applyAlignment="1">
      <alignment horizontal="center"/>
    </xf>
    <xf numFmtId="0" fontId="33" fillId="0" borderId="5" xfId="50" applyNumberFormat="1" applyFont="1" applyFill="1" applyAlignment="1">
      <alignment horizontal="center" wrapText="1"/>
    </xf>
    <xf numFmtId="0" fontId="28" fillId="0" borderId="5" xfId="50" applyFont="1" applyAlignment="1">
      <alignment horizontal="center"/>
    </xf>
    <xf numFmtId="0" fontId="29" fillId="0" borderId="0" xfId="49" applyFont="1" applyAlignment="1">
      <alignment horizontal="center"/>
    </xf>
  </cellXfs>
  <cellStyles count="58">
    <cellStyle name="20 % - Accent1 2" xfId="3" xr:uid="{00000000-0005-0000-0000-000000000000}"/>
    <cellStyle name="20 % - Accent1 3" xfId="4" xr:uid="{00000000-0005-0000-0000-000001000000}"/>
    <cellStyle name="20 % - Accent2 2" xfId="5" xr:uid="{00000000-0005-0000-0000-000002000000}"/>
    <cellStyle name="20 % - Accent2 3" xfId="6" xr:uid="{00000000-0005-0000-0000-000003000000}"/>
    <cellStyle name="20 % - Accent3 2" xfId="7" xr:uid="{00000000-0005-0000-0000-000004000000}"/>
    <cellStyle name="20 % - Accent3 3" xfId="8" xr:uid="{00000000-0005-0000-0000-000005000000}"/>
    <cellStyle name="20 % - Accent4 2" xfId="9" xr:uid="{00000000-0005-0000-0000-000006000000}"/>
    <cellStyle name="20 % - Accent4 3" xfId="10" xr:uid="{00000000-0005-0000-0000-000007000000}"/>
    <cellStyle name="20 % - Accent5 2" xfId="11" xr:uid="{00000000-0005-0000-0000-000008000000}"/>
    <cellStyle name="20 % - Accent5 3" xfId="12" xr:uid="{00000000-0005-0000-0000-000009000000}"/>
    <cellStyle name="20 % - Accent6 2" xfId="13" xr:uid="{00000000-0005-0000-0000-00000A000000}"/>
    <cellStyle name="20 % - Accent6 3" xfId="14" xr:uid="{00000000-0005-0000-0000-00000B000000}"/>
    <cellStyle name="40 % - Accent1 2" xfId="15" xr:uid="{00000000-0005-0000-0000-00000C000000}"/>
    <cellStyle name="40 % - Accent1 3" xfId="16" xr:uid="{00000000-0005-0000-0000-00000D000000}"/>
    <cellStyle name="40 % - Accent2 2" xfId="17" xr:uid="{00000000-0005-0000-0000-00000E000000}"/>
    <cellStyle name="40 % - Accent2 3" xfId="18" xr:uid="{00000000-0005-0000-0000-00000F000000}"/>
    <cellStyle name="40 % - Accent3 2" xfId="19" xr:uid="{00000000-0005-0000-0000-000010000000}"/>
    <cellStyle name="40 % - Accent3 3" xfId="20" xr:uid="{00000000-0005-0000-0000-000011000000}"/>
    <cellStyle name="40 % - Accent4 2" xfId="21" xr:uid="{00000000-0005-0000-0000-000012000000}"/>
    <cellStyle name="40 % - Accent4 3" xfId="22" xr:uid="{00000000-0005-0000-0000-000013000000}"/>
    <cellStyle name="40 % - Accent5 2" xfId="23" xr:uid="{00000000-0005-0000-0000-000014000000}"/>
    <cellStyle name="40 % - Accent5 3" xfId="24" xr:uid="{00000000-0005-0000-0000-000015000000}"/>
    <cellStyle name="40 % - Accent6 2" xfId="25" xr:uid="{00000000-0005-0000-0000-000016000000}"/>
    <cellStyle name="40 % - Accent6 3" xfId="26" xr:uid="{00000000-0005-0000-0000-000017000000}"/>
    <cellStyle name="60 % - Accent1 2" xfId="27" xr:uid="{00000000-0005-0000-0000-000018000000}"/>
    <cellStyle name="60 % - Accent2 2" xfId="28" xr:uid="{00000000-0005-0000-0000-000019000000}"/>
    <cellStyle name="60 % - Accent3 2" xfId="29" xr:uid="{00000000-0005-0000-0000-00001A000000}"/>
    <cellStyle name="60 % - Accent4 2" xfId="30" xr:uid="{00000000-0005-0000-0000-00001B000000}"/>
    <cellStyle name="60 % - Accent5 2" xfId="31" xr:uid="{00000000-0005-0000-0000-00001C000000}"/>
    <cellStyle name="60 % - Accent6 2" xfId="32" xr:uid="{00000000-0005-0000-0000-00001D000000}"/>
    <cellStyle name="Accent1 2" xfId="33" xr:uid="{00000000-0005-0000-0000-00001E000000}"/>
    <cellStyle name="Accent2 2" xfId="34" xr:uid="{00000000-0005-0000-0000-00001F000000}"/>
    <cellStyle name="Accent3 2" xfId="35" xr:uid="{00000000-0005-0000-0000-000020000000}"/>
    <cellStyle name="Accent4 2" xfId="36" xr:uid="{00000000-0005-0000-0000-000021000000}"/>
    <cellStyle name="Accent5 2" xfId="37" xr:uid="{00000000-0005-0000-0000-000022000000}"/>
    <cellStyle name="Accent6 2" xfId="38" xr:uid="{00000000-0005-0000-0000-000023000000}"/>
    <cellStyle name="Avertissement 2" xfId="39" xr:uid="{00000000-0005-0000-0000-000024000000}"/>
    <cellStyle name="Calcul 2" xfId="40" xr:uid="{00000000-0005-0000-0000-000025000000}"/>
    <cellStyle name="Cellule liée 2" xfId="41" xr:uid="{00000000-0005-0000-0000-000026000000}"/>
    <cellStyle name="Commentaire 2" xfId="42" xr:uid="{00000000-0005-0000-0000-000027000000}"/>
    <cellStyle name="Entrée 2" xfId="43" xr:uid="{00000000-0005-0000-0000-000028000000}"/>
    <cellStyle name="Insatisfaisant 2" xfId="44" xr:uid="{00000000-0005-0000-0000-000029000000}"/>
    <cellStyle name="Neutre 2" xfId="45" xr:uid="{00000000-0005-0000-0000-00002A000000}"/>
    <cellStyle name="Normal" xfId="0" builtinId="0"/>
    <cellStyle name="Normal 2" xfId="1" xr:uid="{00000000-0005-0000-0000-00002C000000}"/>
    <cellStyle name="Normal 3" xfId="2" xr:uid="{00000000-0005-0000-0000-00002D000000}"/>
    <cellStyle name="Normal 4" xfId="56" xr:uid="{00000000-0005-0000-0000-00002E000000}"/>
    <cellStyle name="Pourcentage" xfId="57" builtinId="5"/>
    <cellStyle name="Satisfaisant 2" xfId="46" xr:uid="{00000000-0005-0000-0000-000030000000}"/>
    <cellStyle name="Sortie 2" xfId="47" xr:uid="{00000000-0005-0000-0000-000031000000}"/>
    <cellStyle name="Texte explicatif 2" xfId="48" xr:uid="{00000000-0005-0000-0000-000032000000}"/>
    <cellStyle name="Titre 1" xfId="49" xr:uid="{00000000-0005-0000-0000-000033000000}"/>
    <cellStyle name="Titre 1 2" xfId="50" xr:uid="{00000000-0005-0000-0000-000034000000}"/>
    <cellStyle name="Titre 2 2" xfId="51" xr:uid="{00000000-0005-0000-0000-000035000000}"/>
    <cellStyle name="Titre 3 2" xfId="52" xr:uid="{00000000-0005-0000-0000-000036000000}"/>
    <cellStyle name="Titre 4 2" xfId="53" xr:uid="{00000000-0005-0000-0000-000037000000}"/>
    <cellStyle name="Total 2" xfId="54" xr:uid="{00000000-0005-0000-0000-000038000000}"/>
    <cellStyle name="Vérification 2" xfId="55" xr:uid="{00000000-0005-0000-0000-000039000000}"/>
  </cellStyles>
  <dxfs count="240"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Calibri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Calibri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Calibri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Calibri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Calibri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Calibri"/>
        <scheme val="none"/>
      </font>
      <alignment horizontal="center" vertical="bottom" textRotation="0" wrapText="1" indent="0" justifyLastLine="0" shrinkToFit="0" readingOrder="0"/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3:B6" totalsRowShown="0" headerRowDxfId="239" headerRowCellStyle="Titre 1 2">
  <tableColumns count="2">
    <tableColumn id="1" xr3:uid="{00000000-0010-0000-0000-000001000000}" name="Liste des tables avec des différences de structure (non comparable)"/>
    <tableColumn id="2" xr3:uid="{EEB744DD-EF87-47A5-94E9-013FDEF880DD}" name="test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09000000}" name="Tableau32832" displayName="Tableau32832" ref="A7:L8" totalsRowShown="0" dataDxfId="158">
  <autoFilter ref="A7:L8" xr:uid="{00000000-0009-0000-0100-00001F000000}"/>
  <tableColumns count="12">
    <tableColumn id="1" xr3:uid="{00000000-0010-0000-0900-000001000000}" name="Nom de la table" dataDxfId="157"/>
    <tableColumn id="2" xr3:uid="{00000000-0010-0000-0900-000002000000}" name="Nombre de ligne du _x000a_schéma A absente du B" dataDxfId="156"/>
    <tableColumn id="3" xr3:uid="{00000000-0010-0000-0900-000003000000}" name="Nombre de ligne du _x000a_schéma B absente du A" dataDxfId="155"/>
    <tableColumn id="4" xr3:uid="{00000000-0010-0000-0900-000004000000}" name="Nombre de lignes présentent _x000a_dans les deux schémas _x000a_mais ayant un contenu différent " dataDxfId="154"/>
    <tableColumn id="5" xr3:uid="{00000000-0010-0000-0900-000005000000}" name="Nombre d'administré distinct dans le schéma A" dataDxfId="153"/>
    <tableColumn id="6" xr3:uid="{00000000-0010-0000-0900-000006000000}" name="Nombre d'administré distinct dans le schéma B" dataDxfId="152"/>
    <tableColumn id="7" xr3:uid="{00000000-0010-0000-0900-000007000000}" name="Nombre d'administré_x000a_ distinct avec des différences" dataDxfId="151"/>
    <tableColumn id="8" xr3:uid="{00000000-0010-0000-0900-000008000000}" name="Nombre_x000a_ d'administré distinct" dataDxfId="150"/>
    <tableColumn id="9" xr3:uid="{00000000-0010-0000-0900-000009000000}" name="Nombre de ligne _x000a_Schema A" dataDxfId="149"/>
    <tableColumn id="10" xr3:uid="{00000000-0010-0000-0900-00000A000000}" name="Nombre de ligne _x000a_Schema B" dataDxfId="148"/>
    <tableColumn id="11" xr3:uid="{00000000-0010-0000-0900-00000B000000}" name="Différence en % par rapport au nombre de ligne du Schéma A" dataDxfId="147" dataCellStyle="Pourcentage">
      <calculatedColumnFormula>(D8+C8+B8)/I8</calculatedColumnFormula>
    </tableColumn>
    <tableColumn id="12" xr3:uid="{00000000-0010-0000-0900-00000C000000}" name="Ratio" dataDxfId="146">
      <calculatedColumnFormula>(I8+J8)*K8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A000000}" name="Tableau31416184072933" displayName="Tableau31416184072933" ref="A11:L12" totalsRowShown="0" dataDxfId="145">
  <autoFilter ref="A11:L12" xr:uid="{00000000-0009-0000-0100-000020000000}"/>
  <tableColumns count="12">
    <tableColumn id="1" xr3:uid="{00000000-0010-0000-0A00-000001000000}" name="Nom de la table" dataDxfId="144"/>
    <tableColumn id="2" xr3:uid="{00000000-0010-0000-0A00-000002000000}" name="Nombre de ligne du _x000a_schéma A absente du B" dataDxfId="143"/>
    <tableColumn id="3" xr3:uid="{00000000-0010-0000-0A00-000003000000}" name="Nombre de ligne du _x000a_schéma B absente du A" dataDxfId="142"/>
    <tableColumn id="4" xr3:uid="{00000000-0010-0000-0A00-000004000000}" name="Nombre de lignes présentent _x000a_dans les deux schémas _x000a_mais ayant un contenu différent " dataDxfId="141"/>
    <tableColumn id="5" xr3:uid="{00000000-0010-0000-0A00-000005000000}" name="Nombre d'administré distinct dans le schéma A" dataDxfId="140"/>
    <tableColumn id="6" xr3:uid="{00000000-0010-0000-0A00-000006000000}" name="Nombre d'administré distinct dans le schéma B" dataDxfId="139"/>
    <tableColumn id="7" xr3:uid="{00000000-0010-0000-0A00-000007000000}" name="Nombre d'administré_x000a_ distinct avec des différences" dataDxfId="138"/>
    <tableColumn id="8" xr3:uid="{00000000-0010-0000-0A00-000008000000}" name="Nombre_x000a_ d'administré distinct" dataDxfId="137"/>
    <tableColumn id="9" xr3:uid="{00000000-0010-0000-0A00-000009000000}" name="Nombre de ligne _x000a_Schema A" dataDxfId="136"/>
    <tableColumn id="10" xr3:uid="{00000000-0010-0000-0A00-00000A000000}" name="Nombre de ligne _x000a_Schema B" dataDxfId="135"/>
    <tableColumn id="11" xr3:uid="{00000000-0010-0000-0A00-00000B000000}" name="Différence en % par rapport au nombre de ligne du Schéma A" dataDxfId="134">
      <calculatedColumnFormula>(D12+C12+B12)/I12</calculatedColumnFormula>
    </tableColumn>
    <tableColumn id="12" xr3:uid="{00000000-0010-0000-0A00-00000C000000}" name="Ratio" dataDxfId="133">
      <calculatedColumnFormula>(I12+J12)*K12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B000000}" name="Tableau3263034" displayName="Tableau3263034" ref="A15:L19" totalsRowShown="0" dataDxfId="132">
  <autoFilter ref="A15:L19" xr:uid="{00000000-0009-0000-0100-000021000000}"/>
  <tableColumns count="12">
    <tableColumn id="1" xr3:uid="{00000000-0010-0000-0B00-000001000000}" name="Nom de la table" dataDxfId="131"/>
    <tableColumn id="2" xr3:uid="{00000000-0010-0000-0B00-000002000000}" name="Nombre de ligne du _x000a_schéma A absente du B" dataDxfId="130"/>
    <tableColumn id="3" xr3:uid="{00000000-0010-0000-0B00-000003000000}" name="Nombre de ligne du _x000a_schéma B absente du A" dataDxfId="129"/>
    <tableColumn id="4" xr3:uid="{00000000-0010-0000-0B00-000004000000}" name="Nombre de lignes présentent _x000a_dans les deux schémas _x000a_mais ayant un contenu différent " dataDxfId="128"/>
    <tableColumn id="5" xr3:uid="{00000000-0010-0000-0B00-000005000000}" name="Nombre d'administré distinct dans le schéma A" dataDxfId="127"/>
    <tableColumn id="6" xr3:uid="{00000000-0010-0000-0B00-000006000000}" name="Nombre d'administré distinct dans le schéma B" dataDxfId="126"/>
    <tableColumn id="7" xr3:uid="{00000000-0010-0000-0B00-000007000000}" name="Nombre d'administré_x000a_ distinct avec des différences" dataDxfId="125"/>
    <tableColumn id="8" xr3:uid="{00000000-0010-0000-0B00-000008000000}" name="Nombre_x000a_ d'administré distinct" dataDxfId="124"/>
    <tableColumn id="9" xr3:uid="{00000000-0010-0000-0B00-000009000000}" name="Nombre de ligne _x000a_Schema A" dataDxfId="123"/>
    <tableColumn id="10" xr3:uid="{00000000-0010-0000-0B00-00000A000000}" name="Nombre de ligne _x000a_Schema B" dataDxfId="122"/>
    <tableColumn id="11" xr3:uid="{00000000-0010-0000-0B00-00000B000000}" name="Différence en % par rapport au nombre de ligne du Schéma A" dataDxfId="121" dataCellStyle="Pourcentage">
      <calculatedColumnFormula>(D16+C16+B16)/I16</calculatedColumnFormula>
    </tableColumn>
    <tableColumn id="12" xr3:uid="{00000000-0010-0000-0B00-00000C000000}" name="Ratio" dataDxfId="120">
      <calculatedColumnFormula>(I16+J16)*K16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C000000}" name="Tableau2273135" displayName="Tableau2273135" ref="A3:A7" totalsRowShown="0" headerRowDxfId="119" headerRowCellStyle="Titre 1 2">
  <tableColumns count="1">
    <tableColumn id="1" xr3:uid="{00000000-0010-0000-0C00-000001000000}" name="Liste des tables avec des différences de structure (non comparable)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D000000}" name="Tableau3283236" displayName="Tableau3283236" ref="A10:L11" totalsRowShown="0" dataDxfId="118">
  <autoFilter ref="A10:L11" xr:uid="{00000000-0009-0000-0100-000023000000}"/>
  <tableColumns count="12">
    <tableColumn id="1" xr3:uid="{00000000-0010-0000-0D00-000001000000}" name="Nom de la table" dataDxfId="117"/>
    <tableColumn id="2" xr3:uid="{00000000-0010-0000-0D00-000002000000}" name="Nombre de ligne du _x000a_schéma A absente du B" dataDxfId="116"/>
    <tableColumn id="3" xr3:uid="{00000000-0010-0000-0D00-000003000000}" name="Nombre de ligne du _x000a_schéma B absente du A" dataDxfId="115"/>
    <tableColumn id="4" xr3:uid="{00000000-0010-0000-0D00-000004000000}" name="Nombre de lignes présentent _x000a_dans les deux schémas _x000a_mais ayant un contenu différent " dataDxfId="114"/>
    <tableColumn id="5" xr3:uid="{00000000-0010-0000-0D00-000005000000}" name="Nombre d'administré distinct dans le schéma A" dataDxfId="113"/>
    <tableColumn id="6" xr3:uid="{00000000-0010-0000-0D00-000006000000}" name="Nombre d'administré distinct dans le schéma B" dataDxfId="112"/>
    <tableColumn id="7" xr3:uid="{00000000-0010-0000-0D00-000007000000}" name="Nombre d'administré_x000a_ distinct avec des différences" dataDxfId="111"/>
    <tableColumn id="8" xr3:uid="{00000000-0010-0000-0D00-000008000000}" name="Nombre_x000a_ d'administré distinct" dataDxfId="110"/>
    <tableColumn id="9" xr3:uid="{00000000-0010-0000-0D00-000009000000}" name="Nombre de ligne _x000a_Schema A" dataDxfId="109"/>
    <tableColumn id="10" xr3:uid="{00000000-0010-0000-0D00-00000A000000}" name="Nombre de ligne _x000a_Schema B" dataDxfId="108"/>
    <tableColumn id="11" xr3:uid="{00000000-0010-0000-0D00-00000B000000}" name="Différence en % par rapport au nombre de ligne du Schéma A" dataDxfId="107" dataCellStyle="Pourcentage">
      <calculatedColumnFormula>(D11+C11+B11)/I11</calculatedColumnFormula>
    </tableColumn>
    <tableColumn id="12" xr3:uid="{00000000-0010-0000-0D00-00000C000000}" name="Ratio" dataDxfId="106">
      <calculatedColumnFormula>(I11+J11)*K11</calculatedColumnFormula>
    </tableColumn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0E000000}" name="Tableau3141618407293337" displayName="Tableau3141618407293337" ref="A14:L15" totalsRowShown="0" dataDxfId="105">
  <autoFilter ref="A14:L15" xr:uid="{00000000-0009-0000-0100-000024000000}"/>
  <tableColumns count="12">
    <tableColumn id="1" xr3:uid="{00000000-0010-0000-0E00-000001000000}" name="Nom de la table" dataDxfId="104"/>
    <tableColumn id="2" xr3:uid="{00000000-0010-0000-0E00-000002000000}" name="Nombre de ligne du _x000a_schéma A absente du B" dataDxfId="103"/>
    <tableColumn id="3" xr3:uid="{00000000-0010-0000-0E00-000003000000}" name="Nombre de ligne du _x000a_schéma B absente du A" dataDxfId="102"/>
    <tableColumn id="4" xr3:uid="{00000000-0010-0000-0E00-000004000000}" name="Nombre de lignes présentent _x000a_dans les deux schémas _x000a_mais ayant un contenu différent " dataDxfId="101"/>
    <tableColumn id="5" xr3:uid="{00000000-0010-0000-0E00-000005000000}" name="Nombre d'administré distinct dans le schéma A" dataDxfId="100"/>
    <tableColumn id="6" xr3:uid="{00000000-0010-0000-0E00-000006000000}" name="Nombre d'administré distinct dans le schéma B" dataDxfId="99"/>
    <tableColumn id="7" xr3:uid="{00000000-0010-0000-0E00-000007000000}" name="Nombre d'administré_x000a_ distinct avec des différences" dataDxfId="98"/>
    <tableColumn id="8" xr3:uid="{00000000-0010-0000-0E00-000008000000}" name="Nombre_x000a_ d'administré distinct" dataDxfId="97"/>
    <tableColumn id="9" xr3:uid="{00000000-0010-0000-0E00-000009000000}" name="Nombre de ligne _x000a_Schema A" dataDxfId="96"/>
    <tableColumn id="10" xr3:uid="{00000000-0010-0000-0E00-00000A000000}" name="Nombre de ligne _x000a_Schema B" dataDxfId="95"/>
    <tableColumn id="11" xr3:uid="{00000000-0010-0000-0E00-00000B000000}" name="Différence en % par rapport au nombre de ligne du Schéma A" dataDxfId="94">
      <calculatedColumnFormula>(D15+C15+B15)/I15</calculatedColumnFormula>
    </tableColumn>
    <tableColumn id="12" xr3:uid="{00000000-0010-0000-0E00-00000C000000}" name="Ratio" dataDxfId="93">
      <calculatedColumnFormula>(I15+J15)*K15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F000000}" name="Tableau326303438" displayName="Tableau326303438" ref="A19:L67" totalsRowShown="0" dataDxfId="92">
  <autoFilter ref="A19:L67" xr:uid="{00000000-0009-0000-0100-000025000000}"/>
  <sortState xmlns:xlrd2="http://schemas.microsoft.com/office/spreadsheetml/2017/richdata2" ref="A55:L80">
    <sortCondition descending="1" ref="L54:L80"/>
  </sortState>
  <tableColumns count="12">
    <tableColumn id="1" xr3:uid="{00000000-0010-0000-0F00-000001000000}" name="Nom de la table" dataDxfId="91"/>
    <tableColumn id="2" xr3:uid="{00000000-0010-0000-0F00-000002000000}" name="Nombre de ligne du _x000a_schéma A absente du B" dataDxfId="90"/>
    <tableColumn id="3" xr3:uid="{00000000-0010-0000-0F00-000003000000}" name="Nombre de ligne du _x000a_schéma B absente du A" dataDxfId="89"/>
    <tableColumn id="4" xr3:uid="{00000000-0010-0000-0F00-000004000000}" name="Nombre de lignes présentent _x000a_dans les deux schémas _x000a_mais ayant un contenu différent " dataDxfId="88"/>
    <tableColumn id="5" xr3:uid="{00000000-0010-0000-0F00-000005000000}" name="Nombre d'administré distinct dans le schéma A" dataDxfId="87"/>
    <tableColumn id="6" xr3:uid="{00000000-0010-0000-0F00-000006000000}" name="Nombre d'administré distinct dans le schéma B" dataDxfId="86"/>
    <tableColumn id="7" xr3:uid="{00000000-0010-0000-0F00-000007000000}" name="Nombre d'administré_x000a_ distinct avec des différences" dataDxfId="85"/>
    <tableColumn id="8" xr3:uid="{00000000-0010-0000-0F00-000008000000}" name="Nombre_x000a_ d'administré distinct" dataDxfId="84"/>
    <tableColumn id="9" xr3:uid="{00000000-0010-0000-0F00-000009000000}" name="Nombre de ligne _x000a_Schema A" dataDxfId="83"/>
    <tableColumn id="10" xr3:uid="{00000000-0010-0000-0F00-00000A000000}" name="Nombre de ligne _x000a_Schema B" dataDxfId="82"/>
    <tableColumn id="11" xr3:uid="{00000000-0010-0000-0F00-00000B000000}" name="Différence en % par rapport au nombre de ligne du Schéma A" dataDxfId="81" dataCellStyle="Pourcentage">
      <calculatedColumnFormula>(D20+C20+B20)/I20</calculatedColumnFormula>
    </tableColumn>
    <tableColumn id="12" xr3:uid="{00000000-0010-0000-0F00-00000C000000}" name="Ratio" dataDxfId="80">
      <calculatedColumnFormula>(I20+J20)*K20</calculatedColumnFormula>
    </tableColumn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0000000}" name="Tableau22731353916" displayName="Tableau22731353916" ref="A3:A5" totalsRowShown="0" headerRowDxfId="79" headerRowCellStyle="Titre 1 2">
  <tableColumns count="1">
    <tableColumn id="1" xr3:uid="{00000000-0010-0000-1000-000001000000}" name="Liste des tables avec des différences de structure (non comparable)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1000000}" name="Tableau32832364017" displayName="Tableau32832364017" ref="A8:L9" totalsRowShown="0" dataDxfId="78">
  <autoFilter ref="A8:L9" xr:uid="{00000000-0009-0000-0100-000010000000}"/>
  <tableColumns count="12">
    <tableColumn id="1" xr3:uid="{00000000-0010-0000-1100-000001000000}" name="Nom de la table" dataDxfId="77"/>
    <tableColumn id="2" xr3:uid="{00000000-0010-0000-1100-000002000000}" name="Nombre de ligne du _x000a_schéma A absente du B" dataDxfId="76"/>
    <tableColumn id="3" xr3:uid="{00000000-0010-0000-1100-000003000000}" name="Nombre de ligne du _x000a_schéma B absente du A" dataDxfId="75"/>
    <tableColumn id="4" xr3:uid="{00000000-0010-0000-1100-000004000000}" name="Nombre de lignes présentent _x000a_dans les deux schémas _x000a_mais ayant un contenu différent " dataDxfId="74"/>
    <tableColumn id="5" xr3:uid="{00000000-0010-0000-1100-000005000000}" name="Nombre d'administré distinct dans le schéma A" dataDxfId="73"/>
    <tableColumn id="6" xr3:uid="{00000000-0010-0000-1100-000006000000}" name="Nombre d'administré distinct dans le schéma B" dataDxfId="72"/>
    <tableColumn id="7" xr3:uid="{00000000-0010-0000-1100-000007000000}" name="Nombre d'administré_x000a_ distinct avec des différences" dataDxfId="71"/>
    <tableColumn id="8" xr3:uid="{00000000-0010-0000-1100-000008000000}" name="Nombre_x000a_ d'administré distinct" dataDxfId="70"/>
    <tableColumn id="9" xr3:uid="{00000000-0010-0000-1100-000009000000}" name="Nombre de ligne _x000a_Schema A" dataDxfId="69"/>
    <tableColumn id="10" xr3:uid="{00000000-0010-0000-1100-00000A000000}" name="Nombre de ligne _x000a_Schema B" dataDxfId="68"/>
    <tableColumn id="11" xr3:uid="{00000000-0010-0000-1100-00000B000000}" name="Différence en % par rapport au nombre de ligne du Schéma A" dataDxfId="67" dataCellStyle="Pourcentage">
      <calculatedColumnFormula>(D9+C9+B9)/I9</calculatedColumnFormula>
    </tableColumn>
    <tableColumn id="12" xr3:uid="{00000000-0010-0000-1100-00000C000000}" name="Ratio" dataDxfId="66">
      <calculatedColumnFormula>(I9+J9)*K9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2000000}" name="Tableau31416184072933374118" displayName="Tableau31416184072933374118" ref="A12:L13" totalsRowShown="0" dataDxfId="65">
  <autoFilter ref="A12:L13" xr:uid="{00000000-0009-0000-0100-000011000000}"/>
  <tableColumns count="12">
    <tableColumn id="1" xr3:uid="{00000000-0010-0000-1200-000001000000}" name="Nom de la table" dataDxfId="64"/>
    <tableColumn id="2" xr3:uid="{00000000-0010-0000-1200-000002000000}" name="Nombre de ligne du _x000a_schéma A absente du B" dataDxfId="63"/>
    <tableColumn id="3" xr3:uid="{00000000-0010-0000-1200-000003000000}" name="Nombre de ligne du _x000a_schéma B absente du A" dataDxfId="62"/>
    <tableColumn id="4" xr3:uid="{00000000-0010-0000-1200-000004000000}" name="Nombre de lignes présentent _x000a_dans les deux schémas _x000a_mais ayant un contenu différent " dataDxfId="61"/>
    <tableColumn id="5" xr3:uid="{00000000-0010-0000-1200-000005000000}" name="Nombre d'administré distinct dans le schéma A" dataDxfId="60"/>
    <tableColumn id="6" xr3:uid="{00000000-0010-0000-1200-000006000000}" name="Nombre d'administré distinct dans le schéma B" dataDxfId="59"/>
    <tableColumn id="7" xr3:uid="{00000000-0010-0000-1200-000007000000}" name="Nombre d'administré_x000a_ distinct avec des différences" dataDxfId="58"/>
    <tableColumn id="8" xr3:uid="{00000000-0010-0000-1200-000008000000}" name="Nombre_x000a_ d'administré distinct" dataDxfId="57"/>
    <tableColumn id="9" xr3:uid="{00000000-0010-0000-1200-000009000000}" name="Nombre de ligne _x000a_Schema A" dataDxfId="56"/>
    <tableColumn id="10" xr3:uid="{00000000-0010-0000-1200-00000A000000}" name="Nombre de ligne _x000a_Schema B" dataDxfId="55"/>
    <tableColumn id="11" xr3:uid="{00000000-0010-0000-1200-00000B000000}" name="Différence en % par rapport au nombre de ligne du Schéma A" dataDxfId="54">
      <calculatedColumnFormula>(D13+C13+B13)/I13</calculatedColumnFormula>
    </tableColumn>
    <tableColumn id="12" xr3:uid="{00000000-0010-0000-1200-00000C000000}" name="Ratio" dataDxfId="53">
      <calculatedColumnFormula>(I13+J13)*K13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au3" displayName="Tableau3" ref="A8:L9" totalsRowShown="0" dataDxfId="238">
  <autoFilter ref="A8:L9" xr:uid="{00000000-0009-0000-0100-000003000000}"/>
  <tableColumns count="12">
    <tableColumn id="1" xr3:uid="{00000000-0010-0000-0100-000001000000}" name="Nom de la table" dataDxfId="237"/>
    <tableColumn id="2" xr3:uid="{00000000-0010-0000-0100-000002000000}" name="Nombre de ligne du _x000a_schéma A absente du B" dataDxfId="236"/>
    <tableColumn id="3" xr3:uid="{00000000-0010-0000-0100-000003000000}" name="Nombre de ligne du _x000a_schéma B absente du A" dataDxfId="235"/>
    <tableColumn id="4" xr3:uid="{00000000-0010-0000-0100-000004000000}" name="Nombre de lignes présentent _x000a_dans les deux schémas _x000a_mais ayant un contenu différent " dataDxfId="234"/>
    <tableColumn id="5" xr3:uid="{00000000-0010-0000-0100-000005000000}" name="Nombre d'administré distinct dans le schéma A" dataDxfId="233"/>
    <tableColumn id="6" xr3:uid="{00000000-0010-0000-0100-000006000000}" name="Nombre d'administré distinct dans le schéma B" dataDxfId="232"/>
    <tableColumn id="7" xr3:uid="{00000000-0010-0000-0100-000007000000}" name="Nombre d'administré_x000a_ distinct avec des différences" dataDxfId="231"/>
    <tableColumn id="8" xr3:uid="{00000000-0010-0000-0100-000008000000}" name="Nombre_x000a_ d'administré distinct" dataDxfId="230"/>
    <tableColumn id="9" xr3:uid="{00000000-0010-0000-0100-000009000000}" name="Nombre de ligne _x000a_Schema A" dataDxfId="229"/>
    <tableColumn id="10" xr3:uid="{00000000-0010-0000-0100-00000A000000}" name="Nombre de ligne _x000a_Schema B" dataDxfId="228"/>
    <tableColumn id="11" xr3:uid="{00000000-0010-0000-0100-00000B000000}" name="Différence en % par rapport au nombre de ligne du Schéma A" dataDxfId="227" dataCellStyle="Pourcentage">
      <calculatedColumnFormula>(D9+C9+B9)/I9</calculatedColumnFormula>
    </tableColumn>
    <tableColumn id="12" xr3:uid="{00000000-0010-0000-0100-00000C000000}" name="Ratio" dataDxfId="226">
      <calculatedColumnFormula>(I9+J9)*K9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3000000}" name="Tableau3263034384219" displayName="Tableau3263034384219" ref="A16:L58" totalsRowShown="0" dataDxfId="52">
  <autoFilter ref="A16:L58" xr:uid="{00000000-0009-0000-0100-000012000000}"/>
  <tableColumns count="12">
    <tableColumn id="1" xr3:uid="{00000000-0010-0000-1300-000001000000}" name="Nom de la table" dataDxfId="51"/>
    <tableColumn id="2" xr3:uid="{00000000-0010-0000-1300-000002000000}" name="Nombre de ligne du _x000a_schéma A absente du B" dataDxfId="50"/>
    <tableColumn id="3" xr3:uid="{00000000-0010-0000-1300-000003000000}" name="Nombre de ligne du _x000a_schéma B absente du A" dataDxfId="49"/>
    <tableColumn id="4" xr3:uid="{00000000-0010-0000-1300-000004000000}" name="Nombre de lignes présentent _x000a_dans les deux schémas _x000a_mais ayant un contenu différent " dataDxfId="48"/>
    <tableColumn id="5" xr3:uid="{00000000-0010-0000-1300-000005000000}" name="Nombre d'administré distinct dans le schéma A" dataDxfId="47"/>
    <tableColumn id="6" xr3:uid="{00000000-0010-0000-1300-000006000000}" name="Nombre d'administré distinct dans le schéma B" dataDxfId="46"/>
    <tableColumn id="7" xr3:uid="{00000000-0010-0000-1300-000007000000}" name="Nombre d'administré_x000a_ distinct avec des différences" dataDxfId="45"/>
    <tableColumn id="8" xr3:uid="{00000000-0010-0000-1300-000008000000}" name="Nombre_x000a_ d'administré distinct" dataDxfId="44"/>
    <tableColumn id="9" xr3:uid="{00000000-0010-0000-1300-000009000000}" name="Nombre de ligne _x000a_Schema A" dataDxfId="43"/>
    <tableColumn id="10" xr3:uid="{00000000-0010-0000-1300-00000A000000}" name="Nombre de ligne _x000a_Schema B" dataDxfId="42"/>
    <tableColumn id="11" xr3:uid="{00000000-0010-0000-1300-00000B000000}" name="Différence en % par rapport au nombre de ligne du Schéma A" dataDxfId="41" dataCellStyle="Pourcentage">
      <calculatedColumnFormula>(D17+C17+B17)/I17</calculatedColumnFormula>
    </tableColumn>
    <tableColumn id="12" xr3:uid="{00000000-0010-0000-1300-00000C000000}" name="Ratio" dataDxfId="40">
      <calculatedColumnFormula>(I17+J17)*K17</calculatedColumnFormula>
    </tableColumn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14000000}" name="Tableau227313539" displayName="Tableau227313539" ref="A3:A4" totalsRowShown="0" headerRowDxfId="39" headerRowCellStyle="Titre 1 2">
  <tableColumns count="1">
    <tableColumn id="1" xr3:uid="{00000000-0010-0000-1400-000001000000}" name="Liste des tables avec des différences de structure (non comparable)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15000000}" name="Tableau328323640" displayName="Tableau328323640" ref="A7:L8" totalsRowShown="0" dataDxfId="38">
  <autoFilter ref="A7:L8" xr:uid="{00000000-0009-0000-0100-000027000000}"/>
  <tableColumns count="12">
    <tableColumn id="1" xr3:uid="{00000000-0010-0000-1500-000001000000}" name="Nom de la table" dataDxfId="37"/>
    <tableColumn id="2" xr3:uid="{00000000-0010-0000-1500-000002000000}" name="Nombre de ligne du _x000a_schéma A absente du B" dataDxfId="36"/>
    <tableColumn id="3" xr3:uid="{00000000-0010-0000-1500-000003000000}" name="Nombre de ligne du _x000a_schéma B absente du A" dataDxfId="35"/>
    <tableColumn id="4" xr3:uid="{00000000-0010-0000-1500-000004000000}" name="Nombre de lignes présentent _x000a_dans les deux schémas _x000a_mais ayant un contenu différent " dataDxfId="34"/>
    <tableColumn id="5" xr3:uid="{00000000-0010-0000-1500-000005000000}" name="Nombre d'administré distinct dans le schéma A" dataDxfId="33"/>
    <tableColumn id="6" xr3:uid="{00000000-0010-0000-1500-000006000000}" name="Nombre d'administré distinct dans le schéma B" dataDxfId="32"/>
    <tableColumn id="7" xr3:uid="{00000000-0010-0000-1500-000007000000}" name="Nombre d'administré_x000a_ distinct avec des différences" dataDxfId="31"/>
    <tableColumn id="8" xr3:uid="{00000000-0010-0000-1500-000008000000}" name="Nombre_x000a_ d'administré distinct" dataDxfId="30"/>
    <tableColumn id="9" xr3:uid="{00000000-0010-0000-1500-000009000000}" name="Nombre de ligne _x000a_Schema A" dataDxfId="29"/>
    <tableColumn id="10" xr3:uid="{00000000-0010-0000-1500-00000A000000}" name="Nombre de ligne _x000a_Schema B" dataDxfId="28"/>
    <tableColumn id="11" xr3:uid="{00000000-0010-0000-1500-00000B000000}" name="Différence en % par rapport au nombre de ligne du Schéma A" dataDxfId="27" dataCellStyle="Pourcentage">
      <calculatedColumnFormula>(D8+C8+B8)/I8</calculatedColumnFormula>
    </tableColumn>
    <tableColumn id="12" xr3:uid="{00000000-0010-0000-1500-00000C000000}" name="Ratio" dataDxfId="26">
      <calculatedColumnFormula>(I8+J8)*K8</calculatedColumnFormula>
    </tableColumn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16000000}" name="Tableau314161840729333741" displayName="Tableau314161840729333741" ref="A11:L12" totalsRowShown="0" dataDxfId="25">
  <autoFilter ref="A11:L12" xr:uid="{00000000-0009-0000-0100-000028000000}"/>
  <tableColumns count="12">
    <tableColumn id="1" xr3:uid="{00000000-0010-0000-1600-000001000000}" name="Nom de la table" dataDxfId="24"/>
    <tableColumn id="2" xr3:uid="{00000000-0010-0000-1600-000002000000}" name="Nombre de ligne du _x000a_schéma A absente du B" dataDxfId="23"/>
    <tableColumn id="3" xr3:uid="{00000000-0010-0000-1600-000003000000}" name="Nombre de ligne du _x000a_schéma B absente du A" dataDxfId="22"/>
    <tableColumn id="4" xr3:uid="{00000000-0010-0000-1600-000004000000}" name="Nombre de lignes présentent _x000a_dans les deux schémas _x000a_mais ayant un contenu différent " dataDxfId="21"/>
    <tableColumn id="5" xr3:uid="{00000000-0010-0000-1600-000005000000}" name="Nombre d'administré distinct dans le schéma A" dataDxfId="20"/>
    <tableColumn id="6" xr3:uid="{00000000-0010-0000-1600-000006000000}" name="Nombre d'administré distinct dans le schéma B" dataDxfId="19"/>
    <tableColumn id="7" xr3:uid="{00000000-0010-0000-1600-000007000000}" name="Nombre d'administré_x000a_ distinct avec des différences" dataDxfId="18"/>
    <tableColumn id="8" xr3:uid="{00000000-0010-0000-1600-000008000000}" name="Nombre_x000a_ d'administré distinct" dataDxfId="17"/>
    <tableColumn id="9" xr3:uid="{00000000-0010-0000-1600-000009000000}" name="Nombre de ligne _x000a_Schema A" dataDxfId="16"/>
    <tableColumn id="10" xr3:uid="{00000000-0010-0000-1600-00000A000000}" name="Nombre de ligne _x000a_Schema B" dataDxfId="15"/>
    <tableColumn id="11" xr3:uid="{00000000-0010-0000-1600-00000B000000}" name="Différence en % par rapport au nombre de ligne du Schéma A" dataDxfId="14">
      <calculatedColumnFormula>(D12+C12+B12)/I12</calculatedColumnFormula>
    </tableColumn>
    <tableColumn id="12" xr3:uid="{00000000-0010-0000-1600-00000C000000}" name="Ratio" dataDxfId="13">
      <calculatedColumnFormula>(I12+J12)*K12</calculatedColumnFormula>
    </tableColumn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17000000}" name="Tableau32630343842" displayName="Tableau32630343842" ref="A15:L19" totalsRowShown="0" dataDxfId="12">
  <autoFilter ref="A15:L19" xr:uid="{00000000-0009-0000-0100-000029000000}"/>
  <tableColumns count="12">
    <tableColumn id="1" xr3:uid="{00000000-0010-0000-1700-000001000000}" name="Nom de la table" dataDxfId="11"/>
    <tableColumn id="2" xr3:uid="{00000000-0010-0000-1700-000002000000}" name="Nombre de ligne du _x000a_schéma A absente du B" dataDxfId="10"/>
    <tableColumn id="3" xr3:uid="{00000000-0010-0000-1700-000003000000}" name="Nombre de ligne du _x000a_schéma B absente du A" dataDxfId="9"/>
    <tableColumn id="4" xr3:uid="{00000000-0010-0000-1700-000004000000}" name="Nombre de lignes présentent _x000a_dans les deux schémas _x000a_mais ayant un contenu différent " dataDxfId="8"/>
    <tableColumn id="5" xr3:uid="{00000000-0010-0000-1700-000005000000}" name="Nombre d'administré distinct dans le schéma A" dataDxfId="7"/>
    <tableColumn id="6" xr3:uid="{00000000-0010-0000-1700-000006000000}" name="Nombre d'administré distinct dans le schéma B" dataDxfId="6"/>
    <tableColumn id="7" xr3:uid="{00000000-0010-0000-1700-000007000000}" name="Nombre d'administré_x000a_ distinct avec des différences" dataDxfId="5"/>
    <tableColumn id="8" xr3:uid="{00000000-0010-0000-1700-000008000000}" name="Nombre_x000a_ d'administré distinct" dataDxfId="4"/>
    <tableColumn id="9" xr3:uid="{00000000-0010-0000-1700-000009000000}" name="Nombre de ligne _x000a_Schema A" dataDxfId="3"/>
    <tableColumn id="10" xr3:uid="{00000000-0010-0000-1700-00000A000000}" name="Nombre de ligne _x000a_Schema B" dataDxfId="2"/>
    <tableColumn id="11" xr3:uid="{00000000-0010-0000-1700-00000B000000}" name="Différence en % par rapport au nombre de ligne du Schéma A" dataDxfId="1" dataCellStyle="Pourcentage">
      <calculatedColumnFormula>(D16+C16+B16)/I16</calculatedColumnFormula>
    </tableColumn>
    <tableColumn id="12" xr3:uid="{00000000-0010-0000-1700-00000C000000}" name="Ratio" dataDxfId="0">
      <calculatedColumnFormula>(I16+J16)*K16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au3141618407" displayName="Tableau3141618407" ref="A13:L14" totalsRowShown="0" dataDxfId="225">
  <autoFilter ref="A13:L14" xr:uid="{00000000-0009-0000-0100-000006000000}"/>
  <sortState xmlns:xlrd2="http://schemas.microsoft.com/office/spreadsheetml/2017/richdata2" ref="A18:L69">
    <sortCondition descending="1" ref="K17:K69"/>
  </sortState>
  <tableColumns count="12">
    <tableColumn id="1" xr3:uid="{00000000-0010-0000-0200-000001000000}" name="Nom de la table" dataDxfId="224"/>
    <tableColumn id="2" xr3:uid="{00000000-0010-0000-0200-000002000000}" name="Nombre de ligne du _x000a_schéma A absente du B" dataDxfId="223"/>
    <tableColumn id="3" xr3:uid="{00000000-0010-0000-0200-000003000000}" name="Nombre de ligne du _x000a_schéma B absente du A" dataDxfId="222"/>
    <tableColumn id="4" xr3:uid="{00000000-0010-0000-0200-000004000000}" name="Nombre de lignes présentent _x000a_dans les deux schémas _x000a_mais ayant un contenu différent " dataDxfId="221"/>
    <tableColumn id="5" xr3:uid="{00000000-0010-0000-0200-000005000000}" name="Nombre d'administré distinct dans le schéma A" dataDxfId="220"/>
    <tableColumn id="6" xr3:uid="{00000000-0010-0000-0200-000006000000}" name="Nombre d'administré distinct dans le schéma B" dataDxfId="219"/>
    <tableColumn id="7" xr3:uid="{00000000-0010-0000-0200-000007000000}" name="Nombre d'administré_x000a_ distinct avec des différences" dataDxfId="218"/>
    <tableColumn id="8" xr3:uid="{00000000-0010-0000-0200-000008000000}" name="Nombre_x000a_ d'administré distinct" dataDxfId="217"/>
    <tableColumn id="9" xr3:uid="{00000000-0010-0000-0200-000009000000}" name="Nombre de ligne _x000a_Schema A" dataDxfId="216"/>
    <tableColumn id="10" xr3:uid="{00000000-0010-0000-0200-00000A000000}" name="Nombre de ligne _x000a_Schema B" dataDxfId="215"/>
    <tableColumn id="11" xr3:uid="{00000000-0010-0000-0200-00000B000000}" name="Différence en % par rapport au nombre de ligne du Schéma A" dataDxfId="214">
      <calculatedColumnFormula>(D14+C14+B14)/I14</calculatedColumnFormula>
    </tableColumn>
    <tableColumn id="12" xr3:uid="{00000000-0010-0000-0200-00000C000000}" name="Ratio" dataDxfId="213">
      <calculatedColumnFormula>(I14+J14)*K14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3000000}" name="Tableau326" displayName="Tableau326" ref="A17:L70" totalsRowShown="0" dataDxfId="212">
  <autoFilter ref="A17:L70" xr:uid="{00000000-0009-0000-0100-000019000000}"/>
  <sortState xmlns:xlrd2="http://schemas.microsoft.com/office/spreadsheetml/2017/richdata2" ref="A73:L124">
    <sortCondition descending="1" ref="K72:K124"/>
  </sortState>
  <tableColumns count="12">
    <tableColumn id="1" xr3:uid="{00000000-0010-0000-0300-000001000000}" name="Nom de la table" dataDxfId="211"/>
    <tableColumn id="2" xr3:uid="{00000000-0010-0000-0300-000002000000}" name="Nombre de ligne du _x000a_schéma A absente du B" dataDxfId="210"/>
    <tableColumn id="3" xr3:uid="{00000000-0010-0000-0300-000003000000}" name="Nombre de ligne du _x000a_schéma B absente du A" dataDxfId="209"/>
    <tableColumn id="4" xr3:uid="{00000000-0010-0000-0300-000004000000}" name="Nombre de lignes présentent _x000a_dans les deux schémas _x000a_mais ayant un contenu différent " dataDxfId="208"/>
    <tableColumn id="5" xr3:uid="{00000000-0010-0000-0300-000005000000}" name="Nombre d'administré distinct dans le schéma A" dataDxfId="207"/>
    <tableColumn id="6" xr3:uid="{00000000-0010-0000-0300-000006000000}" name="Nombre d'administré distinct dans le schéma B" dataDxfId="206"/>
    <tableColumn id="7" xr3:uid="{00000000-0010-0000-0300-000007000000}" name="Nombre d'administré_x000a_ distinct avec des différences" dataDxfId="205"/>
    <tableColumn id="8" xr3:uid="{00000000-0010-0000-0300-000008000000}" name="Nombre_x000a_ d'administré distinct" dataDxfId="204"/>
    <tableColumn id="9" xr3:uid="{00000000-0010-0000-0300-000009000000}" name="Nombre de ligne _x000a_Schema A" dataDxfId="203"/>
    <tableColumn id="10" xr3:uid="{00000000-0010-0000-0300-00000A000000}" name="Nombre de ligne _x000a_Schema B" dataDxfId="202"/>
    <tableColumn id="11" xr3:uid="{00000000-0010-0000-0300-00000B000000}" name="Différence en % par rapport au nombre de ligne du Schéma A" dataDxfId="201" dataCellStyle="Pourcentage">
      <calculatedColumnFormula>(D18+C18+B18)/I18</calculatedColumnFormula>
    </tableColumn>
    <tableColumn id="12" xr3:uid="{00000000-0010-0000-0300-00000C000000}" name="Ratio" dataDxfId="200">
      <calculatedColumnFormula>(I18+J18)*K18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4000000}" name="Tableau227" displayName="Tableau227" ref="A3:A5" totalsRowShown="0" headerRowDxfId="199" headerRowCellStyle="Titre 1 2">
  <tableColumns count="1">
    <tableColumn id="1" xr3:uid="{00000000-0010-0000-0400-000001000000}" name="Liste des tables avec des différences de structure (non comparable)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5000000}" name="Tableau328" displayName="Tableau328" ref="A7:L8" totalsRowShown="0" dataDxfId="198">
  <autoFilter ref="A7:L8" xr:uid="{00000000-0009-0000-0100-00001B000000}"/>
  <tableColumns count="12">
    <tableColumn id="1" xr3:uid="{00000000-0010-0000-0500-000001000000}" name="Nom de la table" dataDxfId="197"/>
    <tableColumn id="2" xr3:uid="{00000000-0010-0000-0500-000002000000}" name="Nombre de ligne du _x000a_schéma A absente du B" dataDxfId="196"/>
    <tableColumn id="3" xr3:uid="{00000000-0010-0000-0500-000003000000}" name="Nombre de ligne du _x000a_schéma B absente du A" dataDxfId="195"/>
    <tableColumn id="4" xr3:uid="{00000000-0010-0000-0500-000004000000}" name="Nombre de lignes présentent _x000a_dans les deux schémas _x000a_mais ayant un contenu différent " dataDxfId="194"/>
    <tableColumn id="5" xr3:uid="{00000000-0010-0000-0500-000005000000}" name="Nombre d'administré distinct dans le schéma A" dataDxfId="193"/>
    <tableColumn id="6" xr3:uid="{00000000-0010-0000-0500-000006000000}" name="Nombre d'administré distinct dans le schéma B" dataDxfId="192"/>
    <tableColumn id="7" xr3:uid="{00000000-0010-0000-0500-000007000000}" name="Nombre d'administré_x000a_ distinct avec des différences" dataDxfId="191"/>
    <tableColumn id="8" xr3:uid="{00000000-0010-0000-0500-000008000000}" name="Nombre_x000a_ d'administré distinct" dataDxfId="190"/>
    <tableColumn id="9" xr3:uid="{00000000-0010-0000-0500-000009000000}" name="Nombre de ligne _x000a_Schema A" dataDxfId="189"/>
    <tableColumn id="10" xr3:uid="{00000000-0010-0000-0500-00000A000000}" name="Nombre de ligne _x000a_Schema B" dataDxfId="188"/>
    <tableColumn id="11" xr3:uid="{00000000-0010-0000-0500-00000B000000}" name="Différence en % par rapport au nombre de ligne du Schéma A" dataDxfId="187" dataCellStyle="Pourcentage">
      <calculatedColumnFormula>(D8+C8+B8)/I8</calculatedColumnFormula>
    </tableColumn>
    <tableColumn id="12" xr3:uid="{00000000-0010-0000-0500-00000C000000}" name="Ratio" dataDxfId="186">
      <calculatedColumnFormula>(I8+J8)*K8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6000000}" name="Tableau314161840729" displayName="Tableau314161840729" ref="A12:L13" totalsRowShown="0" dataDxfId="185">
  <autoFilter ref="A12:L13" xr:uid="{00000000-0009-0000-0100-00001C000000}"/>
  <tableColumns count="12">
    <tableColumn id="1" xr3:uid="{00000000-0010-0000-0600-000001000000}" name="Nom de la table" dataDxfId="184"/>
    <tableColumn id="2" xr3:uid="{00000000-0010-0000-0600-000002000000}" name="Nombre de ligne du _x000a_schéma A absente du B" dataDxfId="183"/>
    <tableColumn id="3" xr3:uid="{00000000-0010-0000-0600-000003000000}" name="Nombre de ligne du _x000a_schéma B absente du A" dataDxfId="182"/>
    <tableColumn id="4" xr3:uid="{00000000-0010-0000-0600-000004000000}" name="Nombre de lignes présentent _x000a_dans les deux schémas _x000a_mais ayant un contenu différent " dataDxfId="181"/>
    <tableColumn id="5" xr3:uid="{00000000-0010-0000-0600-000005000000}" name="Nombre d'administré distinct dans le schéma A" dataDxfId="180"/>
    <tableColumn id="6" xr3:uid="{00000000-0010-0000-0600-000006000000}" name="Nombre d'administré distinct dans le schéma B" dataDxfId="179"/>
    <tableColumn id="7" xr3:uid="{00000000-0010-0000-0600-000007000000}" name="Nombre d'administré_x000a_ distinct avec des différences" dataDxfId="178"/>
    <tableColumn id="8" xr3:uid="{00000000-0010-0000-0600-000008000000}" name="Nombre_x000a_ d'administré distinct" dataDxfId="177"/>
    <tableColumn id="9" xr3:uid="{00000000-0010-0000-0600-000009000000}" name="Nombre de ligne _x000a_Schema A" dataDxfId="176"/>
    <tableColumn id="10" xr3:uid="{00000000-0010-0000-0600-00000A000000}" name="Nombre de ligne _x000a_Schema B" dataDxfId="175"/>
    <tableColumn id="11" xr3:uid="{00000000-0010-0000-0600-00000B000000}" name="Différence en % par rapport au nombre de ligne du Schéma A" dataDxfId="174">
      <calculatedColumnFormula>(D13+C13+B13)/I13</calculatedColumnFormula>
    </tableColumn>
    <tableColumn id="12" xr3:uid="{00000000-0010-0000-0600-00000C000000}" name="Ratio" dataDxfId="173">
      <calculatedColumnFormula>(I13+J13)*K13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7000000}" name="Tableau32630" displayName="Tableau32630" ref="A16:L20" totalsRowShown="0" dataDxfId="172">
  <autoFilter ref="A16:L20" xr:uid="{00000000-0009-0000-0100-00001D000000}"/>
  <tableColumns count="12">
    <tableColumn id="1" xr3:uid="{00000000-0010-0000-0700-000001000000}" name="Nom de la table" dataDxfId="171"/>
    <tableColumn id="2" xr3:uid="{00000000-0010-0000-0700-000002000000}" name="Nombre de ligne du _x000a_schéma A absente du B" dataDxfId="170"/>
    <tableColumn id="3" xr3:uid="{00000000-0010-0000-0700-000003000000}" name="Nombre de ligne du _x000a_schéma B absente du A" dataDxfId="169"/>
    <tableColumn id="4" xr3:uid="{00000000-0010-0000-0700-000004000000}" name="Nombre de lignes présentent _x000a_dans les deux schémas _x000a_mais ayant un contenu différent " dataDxfId="168"/>
    <tableColumn id="5" xr3:uid="{00000000-0010-0000-0700-000005000000}" name="Nombre d'administré distinct dans le schéma A" dataDxfId="167"/>
    <tableColumn id="6" xr3:uid="{00000000-0010-0000-0700-000006000000}" name="Nombre d'administré distinct dans le schéma B" dataDxfId="166"/>
    <tableColumn id="7" xr3:uid="{00000000-0010-0000-0700-000007000000}" name="Nombre d'administré_x000a_ distinct avec des différences" dataDxfId="165"/>
    <tableColumn id="8" xr3:uid="{00000000-0010-0000-0700-000008000000}" name="Nombre_x000a_ d'administré distinct" dataDxfId="164"/>
    <tableColumn id="9" xr3:uid="{00000000-0010-0000-0700-000009000000}" name="Nombre de ligne _x000a_Schema A" dataDxfId="163"/>
    <tableColumn id="10" xr3:uid="{00000000-0010-0000-0700-00000A000000}" name="Nombre de ligne _x000a_Schema B" dataDxfId="162"/>
    <tableColumn id="11" xr3:uid="{00000000-0010-0000-0700-00000B000000}" name="Différence en % par rapport au nombre de ligne du Schéma A" dataDxfId="161" dataCellStyle="Pourcentage">
      <calculatedColumnFormula>(D17+C17+B17)/I17</calculatedColumnFormula>
    </tableColumn>
    <tableColumn id="12" xr3:uid="{00000000-0010-0000-0700-00000C000000}" name="Ratio" dataDxfId="160">
      <calculatedColumnFormula>(I17+J17)*K17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8000000}" name="Tableau22731" displayName="Tableau22731" ref="A3:A4" totalsRowShown="0" headerRowDxfId="159" headerRowCellStyle="Titre 1 2">
  <tableColumns count="1">
    <tableColumn id="1" xr3:uid="{00000000-0010-0000-0800-000001000000}" name="Liste des tables avec des différences de structure (non comparable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71"/>
  <sheetViews>
    <sheetView zoomScaleNormal="100" workbookViewId="0">
      <selection activeCell="A16" sqref="A16:K16"/>
    </sheetView>
  </sheetViews>
  <sheetFormatPr baseColWidth="10" defaultRowHeight="12.9" x14ac:dyDescent="0.2"/>
  <cols>
    <col min="1" max="1" width="27.375" customWidth="1"/>
    <col min="2" max="2" width="30.125" style="6" customWidth="1"/>
    <col min="3" max="3" width="31" customWidth="1"/>
    <col min="4" max="4" width="22.25" customWidth="1"/>
    <col min="5" max="5" width="16" customWidth="1"/>
    <col min="6" max="6" width="16.875" bestFit="1" customWidth="1"/>
    <col min="7" max="10" width="13.625" customWidth="1"/>
    <col min="11" max="11" width="16.375" bestFit="1" customWidth="1"/>
    <col min="12" max="12" width="8.625" customWidth="1"/>
  </cols>
  <sheetData>
    <row r="1" spans="1:12" ht="26.35" customHeight="1" x14ac:dyDescent="0.35">
      <c r="A1" s="38" t="s">
        <v>141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26"/>
    </row>
    <row r="2" spans="1:12" ht="12.75" customHeight="1" x14ac:dyDescent="0.2">
      <c r="D2" s="2"/>
      <c r="E2" s="2"/>
      <c r="F2" s="2"/>
      <c r="G2" s="2"/>
      <c r="H2" s="2"/>
      <c r="I2" s="2"/>
      <c r="J2" s="2"/>
      <c r="K2" s="2"/>
    </row>
    <row r="3" spans="1:12" ht="49.6" thickBot="1" x14ac:dyDescent="0.35">
      <c r="A3" s="14" t="s">
        <v>12</v>
      </c>
      <c r="B3" s="36" t="s">
        <v>177</v>
      </c>
    </row>
    <row r="4" spans="1:12" ht="13.6" thickTop="1" x14ac:dyDescent="0.2">
      <c r="A4" t="s">
        <v>16</v>
      </c>
      <c r="B4"/>
      <c r="D4" s="3"/>
    </row>
    <row r="5" spans="1:12" x14ac:dyDescent="0.2">
      <c r="A5" t="s">
        <v>130</v>
      </c>
      <c r="B5"/>
      <c r="D5" s="3"/>
    </row>
    <row r="6" spans="1:12" x14ac:dyDescent="0.2">
      <c r="A6" t="s">
        <v>34</v>
      </c>
      <c r="B6"/>
      <c r="D6" s="3"/>
    </row>
    <row r="7" spans="1:12" ht="24.45" thickBot="1" x14ac:dyDescent="0.45">
      <c r="A7" s="37" t="s">
        <v>5</v>
      </c>
      <c r="B7" s="37"/>
      <c r="C7" s="37"/>
      <c r="D7" s="37"/>
      <c r="E7" s="37"/>
      <c r="F7" s="37"/>
      <c r="G7" s="37"/>
      <c r="H7" s="37"/>
      <c r="I7" s="37"/>
      <c r="J7" s="37"/>
      <c r="K7" s="37"/>
    </row>
    <row r="8" spans="1:12" ht="69.8" customHeight="1" thickTop="1" x14ac:dyDescent="0.2">
      <c r="A8" t="s">
        <v>2</v>
      </c>
      <c r="B8" s="21" t="s">
        <v>0</v>
      </c>
      <c r="C8" s="22" t="s">
        <v>1</v>
      </c>
      <c r="D8" s="23" t="s">
        <v>3</v>
      </c>
      <c r="E8" s="23" t="s">
        <v>6</v>
      </c>
      <c r="F8" s="23" t="s">
        <v>9</v>
      </c>
      <c r="G8" s="23" t="s">
        <v>7</v>
      </c>
      <c r="H8" s="23" t="s">
        <v>8</v>
      </c>
      <c r="I8" s="23" t="s">
        <v>4</v>
      </c>
      <c r="J8" s="23" t="s">
        <v>11</v>
      </c>
      <c r="K8" s="2" t="s">
        <v>10</v>
      </c>
      <c r="L8" t="s">
        <v>15</v>
      </c>
    </row>
    <row r="9" spans="1:12" ht="15.65" x14ac:dyDescent="0.25">
      <c r="A9" s="8"/>
      <c r="B9" s="9"/>
      <c r="C9" s="9"/>
      <c r="D9" s="10"/>
      <c r="E9" s="9"/>
      <c r="F9" s="9"/>
      <c r="G9" s="12"/>
      <c r="H9" s="12"/>
      <c r="I9" s="12"/>
      <c r="J9" s="12"/>
      <c r="K9" s="16" t="e">
        <f>(D9+C9+B9)/I9</f>
        <v>#DIV/0!</v>
      </c>
      <c r="L9" s="29" t="e">
        <f>(I9+J9)*K9</f>
        <v>#DIV/0!</v>
      </c>
    </row>
    <row r="10" spans="1:12" ht="15.65" x14ac:dyDescent="0.25">
      <c r="A10" s="8"/>
      <c r="B10" s="9"/>
      <c r="C10" s="9"/>
      <c r="D10" s="10"/>
      <c r="E10" s="9"/>
      <c r="F10" s="9"/>
      <c r="G10" s="9"/>
      <c r="H10" s="9"/>
      <c r="I10" s="9"/>
      <c r="J10" s="9"/>
      <c r="K10" s="16"/>
      <c r="L10" s="29"/>
    </row>
    <row r="11" spans="1:12" ht="15.65" x14ac:dyDescent="0.25">
      <c r="A11" s="8"/>
      <c r="B11" s="9"/>
      <c r="C11" s="9"/>
      <c r="D11" s="10"/>
      <c r="E11" s="9"/>
      <c r="F11" s="9"/>
      <c r="G11" s="12"/>
      <c r="H11" s="12"/>
      <c r="I11" s="12"/>
      <c r="J11" s="12"/>
      <c r="K11" s="15"/>
      <c r="L11" s="29"/>
    </row>
    <row r="12" spans="1:12" ht="24.45" thickBot="1" x14ac:dyDescent="0.45">
      <c r="A12" s="37" t="s">
        <v>13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29"/>
    </row>
    <row r="13" spans="1:12" ht="65.25" thickTop="1" x14ac:dyDescent="0.2">
      <c r="A13" t="s">
        <v>2</v>
      </c>
      <c r="B13" s="7" t="s">
        <v>0</v>
      </c>
      <c r="C13" s="5" t="s">
        <v>1</v>
      </c>
      <c r="D13" s="4" t="s">
        <v>3</v>
      </c>
      <c r="E13" s="2" t="s">
        <v>6</v>
      </c>
      <c r="F13" s="2" t="s">
        <v>9</v>
      </c>
      <c r="G13" s="2" t="s">
        <v>7</v>
      </c>
      <c r="H13" s="2" t="s">
        <v>8</v>
      </c>
      <c r="I13" s="2" t="s">
        <v>4</v>
      </c>
      <c r="J13" s="2" t="s">
        <v>11</v>
      </c>
      <c r="K13" s="2" t="s">
        <v>10</v>
      </c>
      <c r="L13" t="s">
        <v>15</v>
      </c>
    </row>
    <row r="14" spans="1:12" ht="15.65" x14ac:dyDescent="0.25">
      <c r="A14" s="8"/>
      <c r="B14" s="18"/>
      <c r="C14" s="18"/>
      <c r="D14" s="18"/>
      <c r="E14" s="9"/>
      <c r="F14" s="9"/>
      <c r="G14" s="9"/>
      <c r="H14" s="9"/>
      <c r="I14" s="9"/>
      <c r="J14" s="9"/>
      <c r="K14" s="30" t="e">
        <f>(D14+C14+B14)/I14</f>
        <v>#DIV/0!</v>
      </c>
      <c r="L14" s="29" t="e">
        <f>(I14+J14)*K14</f>
        <v>#DIV/0!</v>
      </c>
    </row>
    <row r="15" spans="1:12" ht="15.65" x14ac:dyDescent="0.25">
      <c r="B15" s="18">
        <f>SUM(Tableau3141618407[Nombre de ligne du 
schéma A absente du B])</f>
        <v>0</v>
      </c>
      <c r="C15" s="18">
        <f>SUM(Tableau3141618407[Nombre de ligne du 
schéma B absente du A])+1</f>
        <v>1</v>
      </c>
      <c r="D15" s="18">
        <f>SUM(Tableau3141618407[Nombre de lignes présentent 
dans les deux schémas 
mais ayant un contenu différent ])+2</f>
        <v>2</v>
      </c>
    </row>
    <row r="16" spans="1:12" ht="24.45" thickBot="1" x14ac:dyDescent="0.45">
      <c r="A16" s="37" t="s">
        <v>14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</row>
    <row r="17" spans="1:12" ht="65.25" thickTop="1" x14ac:dyDescent="0.2">
      <c r="A17" t="s">
        <v>2</v>
      </c>
      <c r="B17" s="21" t="s">
        <v>0</v>
      </c>
      <c r="C17" s="22" t="s">
        <v>1</v>
      </c>
      <c r="D17" s="23" t="s">
        <v>3</v>
      </c>
      <c r="E17" s="23" t="s">
        <v>6</v>
      </c>
      <c r="F17" s="23" t="s">
        <v>9</v>
      </c>
      <c r="G17" s="23" t="s">
        <v>7</v>
      </c>
      <c r="H17" s="23" t="s">
        <v>8</v>
      </c>
      <c r="I17" s="23" t="s">
        <v>4</v>
      </c>
      <c r="J17" s="23" t="s">
        <v>11</v>
      </c>
      <c r="K17" s="2" t="s">
        <v>10</v>
      </c>
      <c r="L17" t="s">
        <v>15</v>
      </c>
    </row>
    <row r="18" spans="1:12" ht="15.65" x14ac:dyDescent="0.25">
      <c r="A18" s="8" t="s">
        <v>47</v>
      </c>
      <c r="B18" s="9">
        <v>25</v>
      </c>
      <c r="C18" s="9">
        <v>35</v>
      </c>
      <c r="D18" s="10">
        <v>0</v>
      </c>
      <c r="E18" s="9">
        <v>25</v>
      </c>
      <c r="F18" s="9">
        <v>35</v>
      </c>
      <c r="G18" s="9">
        <v>0</v>
      </c>
      <c r="H18" s="9">
        <v>60</v>
      </c>
      <c r="I18" s="9">
        <v>39109</v>
      </c>
      <c r="J18" s="9">
        <v>39119</v>
      </c>
      <c r="K18" s="16">
        <f t="shared" ref="K18:K49" si="0">(D18+C18+B18)/I18</f>
        <v>1.5341737196041831E-3</v>
      </c>
      <c r="L18" s="29">
        <f t="shared" ref="L18:L49" si="1">(I18+J18)*K18</f>
        <v>120.01534173719604</v>
      </c>
    </row>
    <row r="19" spans="1:12" ht="15.65" x14ac:dyDescent="0.25">
      <c r="A19" s="8" t="s">
        <v>17</v>
      </c>
      <c r="B19" s="9">
        <v>30</v>
      </c>
      <c r="C19" s="9">
        <v>0</v>
      </c>
      <c r="D19" s="10">
        <v>0</v>
      </c>
      <c r="E19" s="9">
        <v>2</v>
      </c>
      <c r="F19" s="9">
        <v>0</v>
      </c>
      <c r="G19" s="9">
        <v>0</v>
      </c>
      <c r="H19" s="9">
        <v>2</v>
      </c>
      <c r="I19" s="9">
        <v>479291</v>
      </c>
      <c r="J19" s="9">
        <v>479289</v>
      </c>
      <c r="K19" s="16">
        <f t="shared" si="0"/>
        <v>6.2592454270996118E-5</v>
      </c>
      <c r="L19" s="29">
        <f t="shared" si="1"/>
        <v>59.999874815091459</v>
      </c>
    </row>
    <row r="20" spans="1:12" ht="15.65" x14ac:dyDescent="0.25">
      <c r="A20" s="8" t="s">
        <v>48</v>
      </c>
      <c r="B20" s="9">
        <v>13</v>
      </c>
      <c r="C20" s="9">
        <v>17</v>
      </c>
      <c r="D20" s="10">
        <v>0</v>
      </c>
      <c r="E20" s="9">
        <v>6</v>
      </c>
      <c r="F20" s="9">
        <v>10</v>
      </c>
      <c r="G20" s="9">
        <v>0</v>
      </c>
      <c r="H20" s="9">
        <v>16</v>
      </c>
      <c r="I20" s="9">
        <v>65309</v>
      </c>
      <c r="J20" s="9">
        <v>65327</v>
      </c>
      <c r="K20" s="16">
        <f t="shared" si="0"/>
        <v>4.5935475968090155E-4</v>
      </c>
      <c r="L20" s="29">
        <f t="shared" si="1"/>
        <v>60.008268385674256</v>
      </c>
    </row>
    <row r="21" spans="1:12" ht="15.65" x14ac:dyDescent="0.25">
      <c r="A21" s="8" t="s">
        <v>49</v>
      </c>
      <c r="B21" s="9">
        <v>13</v>
      </c>
      <c r="C21" s="9">
        <v>0</v>
      </c>
      <c r="D21" s="10">
        <v>0</v>
      </c>
      <c r="E21" s="9">
        <v>4</v>
      </c>
      <c r="F21" s="9">
        <v>0</v>
      </c>
      <c r="G21" s="9">
        <v>0</v>
      </c>
      <c r="H21" s="9">
        <v>4</v>
      </c>
      <c r="I21" s="9">
        <v>120993</v>
      </c>
      <c r="J21" s="9">
        <v>120999</v>
      </c>
      <c r="K21" s="16">
        <f t="shared" si="0"/>
        <v>1.0744423231096014E-4</v>
      </c>
      <c r="L21" s="29">
        <f t="shared" si="1"/>
        <v>26.000644665393867</v>
      </c>
    </row>
    <row r="22" spans="1:12" ht="15.65" x14ac:dyDescent="0.25">
      <c r="A22" s="8" t="s">
        <v>50</v>
      </c>
      <c r="B22" s="9">
        <v>4</v>
      </c>
      <c r="C22" s="9">
        <v>1</v>
      </c>
      <c r="D22" s="10">
        <v>0</v>
      </c>
      <c r="E22" s="9">
        <v>4</v>
      </c>
      <c r="F22" s="9">
        <v>1</v>
      </c>
      <c r="G22" s="9">
        <v>0</v>
      </c>
      <c r="H22" s="9">
        <v>5</v>
      </c>
      <c r="I22" s="9">
        <v>23719</v>
      </c>
      <c r="J22" s="9">
        <v>23720</v>
      </c>
      <c r="K22" s="16">
        <f t="shared" si="0"/>
        <v>2.1080146717821155E-4</v>
      </c>
      <c r="L22" s="29">
        <f t="shared" si="1"/>
        <v>10.000210801467178</v>
      </c>
    </row>
    <row r="23" spans="1:12" ht="15.65" x14ac:dyDescent="0.25">
      <c r="A23" s="17" t="s">
        <v>18</v>
      </c>
      <c r="B23" s="18">
        <v>22</v>
      </c>
      <c r="C23" s="18">
        <v>0</v>
      </c>
      <c r="D23" s="19">
        <v>0</v>
      </c>
      <c r="E23" s="18">
        <v>3</v>
      </c>
      <c r="F23" s="18">
        <v>0</v>
      </c>
      <c r="G23" s="18">
        <v>0</v>
      </c>
      <c r="H23" s="18">
        <v>3</v>
      </c>
      <c r="I23" s="18">
        <v>705174</v>
      </c>
      <c r="J23" s="18">
        <v>705190</v>
      </c>
      <c r="K23" s="20">
        <f t="shared" si="0"/>
        <v>3.1197973833408491E-5</v>
      </c>
      <c r="L23" s="29">
        <f t="shared" si="1"/>
        <v>44.000499167581332</v>
      </c>
    </row>
    <row r="24" spans="1:12" ht="15.65" x14ac:dyDescent="0.25">
      <c r="A24" s="8" t="s">
        <v>51</v>
      </c>
      <c r="B24" s="9">
        <v>0</v>
      </c>
      <c r="C24" s="9">
        <v>2</v>
      </c>
      <c r="D24" s="10">
        <v>0</v>
      </c>
      <c r="E24" s="9">
        <v>0</v>
      </c>
      <c r="F24" s="9">
        <v>1</v>
      </c>
      <c r="G24" s="9">
        <v>0</v>
      </c>
      <c r="H24" s="9">
        <v>1</v>
      </c>
      <c r="I24" s="9">
        <v>4918</v>
      </c>
      <c r="J24" s="9">
        <v>4920</v>
      </c>
      <c r="K24" s="16">
        <f t="shared" si="0"/>
        <v>4.0666937779585197E-4</v>
      </c>
      <c r="L24" s="29">
        <f t="shared" si="1"/>
        <v>4.0008133387555915</v>
      </c>
    </row>
    <row r="25" spans="1:12" ht="15.65" x14ac:dyDescent="0.25">
      <c r="A25" s="8" t="s">
        <v>52</v>
      </c>
      <c r="B25" s="9">
        <v>14</v>
      </c>
      <c r="C25" s="9">
        <v>17</v>
      </c>
      <c r="D25" s="10">
        <v>0</v>
      </c>
      <c r="E25" s="9">
        <v>5</v>
      </c>
      <c r="F25" s="9">
        <v>9</v>
      </c>
      <c r="G25" s="9">
        <v>0</v>
      </c>
      <c r="H25" s="9">
        <v>14</v>
      </c>
      <c r="I25" s="9">
        <v>56657</v>
      </c>
      <c r="J25" s="9">
        <v>56675</v>
      </c>
      <c r="K25" s="16">
        <f t="shared" si="0"/>
        <v>5.4715216125103691E-4</v>
      </c>
      <c r="L25" s="29">
        <f t="shared" si="1"/>
        <v>62.009848738902512</v>
      </c>
    </row>
    <row r="26" spans="1:12" ht="15.65" x14ac:dyDescent="0.25">
      <c r="A26" s="8" t="s">
        <v>135</v>
      </c>
      <c r="B26" s="18">
        <v>66</v>
      </c>
      <c r="C26" s="18">
        <v>120</v>
      </c>
      <c r="D26" s="19">
        <v>87</v>
      </c>
      <c r="E26" s="18">
        <v>24</v>
      </c>
      <c r="F26" s="18">
        <v>15</v>
      </c>
      <c r="G26" s="18">
        <v>58</v>
      </c>
      <c r="H26" s="18">
        <v>97</v>
      </c>
      <c r="I26" s="18">
        <v>161713</v>
      </c>
      <c r="J26" s="18">
        <v>161817</v>
      </c>
      <c r="K26" s="20">
        <f t="shared" si="0"/>
        <v>1.6881759660633345E-3</v>
      </c>
      <c r="L26" s="29">
        <f t="shared" si="1"/>
        <v>546.17557030047055</v>
      </c>
    </row>
    <row r="27" spans="1:12" ht="15.65" x14ac:dyDescent="0.25">
      <c r="A27" s="8" t="s">
        <v>19</v>
      </c>
      <c r="B27" s="9">
        <v>32</v>
      </c>
      <c r="C27" s="9">
        <v>126</v>
      </c>
      <c r="D27" s="10">
        <v>0</v>
      </c>
      <c r="E27" s="9">
        <v>6</v>
      </c>
      <c r="F27" s="9">
        <v>10</v>
      </c>
      <c r="G27" s="9">
        <v>0</v>
      </c>
      <c r="H27" s="9">
        <v>16</v>
      </c>
      <c r="I27" s="9">
        <v>184377</v>
      </c>
      <c r="J27" s="9">
        <v>184503</v>
      </c>
      <c r="K27" s="16">
        <f t="shared" si="0"/>
        <v>8.5693985692358594E-4</v>
      </c>
      <c r="L27" s="29">
        <f t="shared" si="1"/>
        <v>316.10797442197236</v>
      </c>
    </row>
    <row r="28" spans="1:12" ht="15.65" x14ac:dyDescent="0.25">
      <c r="A28" s="8" t="s">
        <v>53</v>
      </c>
      <c r="B28" s="9">
        <v>0</v>
      </c>
      <c r="C28" s="9">
        <v>4</v>
      </c>
      <c r="D28" s="10">
        <v>0</v>
      </c>
      <c r="E28" s="9">
        <v>0</v>
      </c>
      <c r="F28" s="9">
        <v>1</v>
      </c>
      <c r="G28" s="9">
        <v>0</v>
      </c>
      <c r="H28" s="9">
        <v>1</v>
      </c>
      <c r="I28" s="9">
        <v>1574</v>
      </c>
      <c r="J28" s="9">
        <v>1578</v>
      </c>
      <c r="K28" s="16">
        <f t="shared" si="0"/>
        <v>2.5412960609911056E-3</v>
      </c>
      <c r="L28" s="29">
        <f t="shared" si="1"/>
        <v>8.0101651842439647</v>
      </c>
    </row>
    <row r="29" spans="1:12" ht="15.65" x14ac:dyDescent="0.25">
      <c r="A29" s="8" t="s">
        <v>20</v>
      </c>
      <c r="B29" s="9">
        <v>99</v>
      </c>
      <c r="C29" s="9">
        <v>108</v>
      </c>
      <c r="D29" s="10">
        <v>520</v>
      </c>
      <c r="E29" s="9">
        <v>48</v>
      </c>
      <c r="F29" s="9">
        <v>50</v>
      </c>
      <c r="G29" s="9">
        <v>255</v>
      </c>
      <c r="H29" s="9">
        <v>292</v>
      </c>
      <c r="I29" s="9">
        <v>91913</v>
      </c>
      <c r="J29" s="9">
        <v>91950</v>
      </c>
      <c r="K29" s="16">
        <f t="shared" si="0"/>
        <v>7.9096536942543493E-3</v>
      </c>
      <c r="L29" s="29">
        <f t="shared" si="1"/>
        <v>1454.2926571866874</v>
      </c>
    </row>
    <row r="30" spans="1:12" ht="15.65" x14ac:dyDescent="0.25">
      <c r="A30" s="17" t="s">
        <v>54</v>
      </c>
      <c r="B30" s="18">
        <v>12</v>
      </c>
      <c r="C30" s="18">
        <v>48</v>
      </c>
      <c r="D30" s="19">
        <v>0</v>
      </c>
      <c r="E30" s="18">
        <v>1</v>
      </c>
      <c r="F30" s="18">
        <v>5</v>
      </c>
      <c r="G30" s="18">
        <v>0</v>
      </c>
      <c r="H30" s="18">
        <v>6</v>
      </c>
      <c r="I30" s="18">
        <v>323405</v>
      </c>
      <c r="J30" s="18">
        <v>323441</v>
      </c>
      <c r="K30" s="20">
        <f t="shared" si="0"/>
        <v>1.855258885917039E-4</v>
      </c>
      <c r="L30" s="29">
        <f t="shared" si="1"/>
        <v>120.0066789319893</v>
      </c>
    </row>
    <row r="31" spans="1:12" ht="15.65" x14ac:dyDescent="0.25">
      <c r="A31" s="8" t="s">
        <v>21</v>
      </c>
      <c r="B31" s="9">
        <v>35</v>
      </c>
      <c r="C31" s="9">
        <v>82</v>
      </c>
      <c r="D31" s="10">
        <v>0</v>
      </c>
      <c r="E31" s="9">
        <v>6</v>
      </c>
      <c r="F31" s="9">
        <v>11</v>
      </c>
      <c r="G31" s="9">
        <v>0</v>
      </c>
      <c r="H31" s="9">
        <v>17</v>
      </c>
      <c r="I31" s="9">
        <v>242642</v>
      </c>
      <c r="J31" s="9">
        <v>242724</v>
      </c>
      <c r="K31" s="16">
        <f t="shared" si="0"/>
        <v>4.8219187115173796E-4</v>
      </c>
      <c r="L31" s="29">
        <f t="shared" si="1"/>
        <v>234.03953973343445</v>
      </c>
    </row>
    <row r="32" spans="1:12" ht="15.65" x14ac:dyDescent="0.25">
      <c r="A32" s="8" t="s">
        <v>22</v>
      </c>
      <c r="B32" s="9">
        <v>50</v>
      </c>
      <c r="C32" s="9">
        <v>262</v>
      </c>
      <c r="D32" s="10">
        <v>0</v>
      </c>
      <c r="E32" s="9">
        <v>8</v>
      </c>
      <c r="F32" s="9">
        <v>10</v>
      </c>
      <c r="G32" s="9">
        <v>0</v>
      </c>
      <c r="H32" s="9">
        <v>18</v>
      </c>
      <c r="I32" s="9">
        <v>350162</v>
      </c>
      <c r="J32" s="9">
        <v>350431</v>
      </c>
      <c r="K32" s="16">
        <f t="shared" si="0"/>
        <v>8.910161582353311E-4</v>
      </c>
      <c r="L32" s="29">
        <f t="shared" si="1"/>
        <v>624.23968334656536</v>
      </c>
    </row>
    <row r="33" spans="1:12" ht="15.65" x14ac:dyDescent="0.25">
      <c r="A33" s="8" t="s">
        <v>23</v>
      </c>
      <c r="B33" s="9">
        <v>12</v>
      </c>
      <c r="C33" s="9">
        <v>22</v>
      </c>
      <c r="D33" s="10">
        <v>0</v>
      </c>
      <c r="E33" s="9">
        <v>5</v>
      </c>
      <c r="F33" s="9">
        <v>9</v>
      </c>
      <c r="G33" s="9">
        <v>0</v>
      </c>
      <c r="H33" s="9">
        <v>14</v>
      </c>
      <c r="I33" s="9">
        <v>34941</v>
      </c>
      <c r="J33" s="9">
        <v>34963</v>
      </c>
      <c r="K33" s="16">
        <f t="shared" si="0"/>
        <v>9.7306888755330418E-4</v>
      </c>
      <c r="L33" s="29">
        <f t="shared" si="1"/>
        <v>68.021407515526178</v>
      </c>
    </row>
    <row r="34" spans="1:12" ht="15.65" x14ac:dyDescent="0.25">
      <c r="A34" s="8" t="s">
        <v>55</v>
      </c>
      <c r="B34" s="9">
        <v>3</v>
      </c>
      <c r="C34" s="9">
        <v>3</v>
      </c>
      <c r="D34" s="10">
        <v>0</v>
      </c>
      <c r="E34" s="9">
        <v>1</v>
      </c>
      <c r="F34" s="9">
        <v>1</v>
      </c>
      <c r="G34" s="9">
        <v>0</v>
      </c>
      <c r="H34" s="9">
        <v>2</v>
      </c>
      <c r="I34" s="9">
        <v>69</v>
      </c>
      <c r="J34" s="9">
        <v>72</v>
      </c>
      <c r="K34" s="16">
        <f t="shared" si="0"/>
        <v>8.6956521739130432E-2</v>
      </c>
      <c r="L34" s="29">
        <f t="shared" si="1"/>
        <v>12.260869565217391</v>
      </c>
    </row>
    <row r="35" spans="1:12" ht="15.65" x14ac:dyDescent="0.25">
      <c r="A35" s="8" t="s">
        <v>56</v>
      </c>
      <c r="B35" s="9">
        <v>12</v>
      </c>
      <c r="C35" s="9">
        <v>22</v>
      </c>
      <c r="D35" s="10">
        <v>0</v>
      </c>
      <c r="E35" s="9">
        <v>5</v>
      </c>
      <c r="F35" s="9">
        <v>9</v>
      </c>
      <c r="G35" s="9">
        <v>0</v>
      </c>
      <c r="H35" s="9">
        <v>14</v>
      </c>
      <c r="I35" s="9">
        <v>34340</v>
      </c>
      <c r="J35" s="9">
        <v>34362</v>
      </c>
      <c r="K35" s="16">
        <f t="shared" si="0"/>
        <v>9.9009900990099011E-4</v>
      </c>
      <c r="L35" s="29">
        <f t="shared" si="1"/>
        <v>68.021782178217819</v>
      </c>
    </row>
    <row r="36" spans="1:12" ht="15.65" x14ac:dyDescent="0.25">
      <c r="A36" s="8" t="s">
        <v>24</v>
      </c>
      <c r="B36" s="9">
        <v>14</v>
      </c>
      <c r="C36" s="9">
        <v>37</v>
      </c>
      <c r="D36" s="10">
        <v>0</v>
      </c>
      <c r="E36" s="9">
        <v>6</v>
      </c>
      <c r="F36" s="9">
        <v>11</v>
      </c>
      <c r="G36" s="9">
        <v>0</v>
      </c>
      <c r="H36" s="9">
        <v>17</v>
      </c>
      <c r="I36" s="9">
        <v>79865</v>
      </c>
      <c r="J36" s="9">
        <v>79902</v>
      </c>
      <c r="K36" s="16">
        <f t="shared" si="0"/>
        <v>6.3857759969949285E-4</v>
      </c>
      <c r="L36" s="29">
        <f t="shared" si="1"/>
        <v>102.02362737118888</v>
      </c>
    </row>
    <row r="37" spans="1:12" ht="15.65" x14ac:dyDescent="0.25">
      <c r="A37" s="8" t="s">
        <v>25</v>
      </c>
      <c r="B37" s="9">
        <v>99</v>
      </c>
      <c r="C37" s="9">
        <v>17</v>
      </c>
      <c r="D37" s="10">
        <v>48</v>
      </c>
      <c r="E37" s="9">
        <v>8</v>
      </c>
      <c r="F37" s="9">
        <v>12</v>
      </c>
      <c r="G37" s="9">
        <v>2</v>
      </c>
      <c r="H37" s="9">
        <v>17</v>
      </c>
      <c r="I37" s="9">
        <v>242364</v>
      </c>
      <c r="J37" s="9">
        <v>242389</v>
      </c>
      <c r="K37" s="16">
        <f t="shared" si="0"/>
        <v>6.7666815203578094E-4</v>
      </c>
      <c r="L37" s="29">
        <f t="shared" si="1"/>
        <v>328.01691670380092</v>
      </c>
    </row>
    <row r="38" spans="1:12" ht="15.65" x14ac:dyDescent="0.25">
      <c r="A38" s="8" t="s">
        <v>57</v>
      </c>
      <c r="B38" s="9">
        <v>0</v>
      </c>
      <c r="C38" s="9">
        <v>4</v>
      </c>
      <c r="D38" s="10">
        <v>0</v>
      </c>
      <c r="E38" s="9">
        <v>0</v>
      </c>
      <c r="F38" s="9">
        <v>4</v>
      </c>
      <c r="G38" s="9">
        <v>0</v>
      </c>
      <c r="H38" s="9">
        <v>4</v>
      </c>
      <c r="I38" s="9">
        <v>326</v>
      </c>
      <c r="J38" s="9">
        <v>330</v>
      </c>
      <c r="K38" s="16">
        <f t="shared" si="0"/>
        <v>1.2269938650306749E-2</v>
      </c>
      <c r="L38" s="29">
        <f t="shared" si="1"/>
        <v>8.0490797546012267</v>
      </c>
    </row>
    <row r="39" spans="1:12" ht="15.65" x14ac:dyDescent="0.25">
      <c r="A39" s="8" t="s">
        <v>136</v>
      </c>
      <c r="B39" s="9">
        <v>13</v>
      </c>
      <c r="C39" s="9">
        <v>13</v>
      </c>
      <c r="D39" s="10">
        <v>0</v>
      </c>
      <c r="E39" s="9">
        <v>13</v>
      </c>
      <c r="F39" s="9">
        <v>13</v>
      </c>
      <c r="G39" s="9">
        <v>0</v>
      </c>
      <c r="H39" s="9">
        <v>26</v>
      </c>
      <c r="I39" s="9">
        <v>24721</v>
      </c>
      <c r="J39" s="9">
        <v>24721</v>
      </c>
      <c r="K39" s="16">
        <f t="shared" si="0"/>
        <v>1.0517373892641884E-3</v>
      </c>
      <c r="L39" s="29">
        <f t="shared" si="1"/>
        <v>52.000000000000007</v>
      </c>
    </row>
    <row r="40" spans="1:12" ht="15.65" x14ac:dyDescent="0.25">
      <c r="A40" s="8" t="s">
        <v>58</v>
      </c>
      <c r="B40" s="9">
        <v>12</v>
      </c>
      <c r="C40" s="9">
        <v>8</v>
      </c>
      <c r="D40" s="10">
        <v>0</v>
      </c>
      <c r="E40" s="9">
        <v>6</v>
      </c>
      <c r="F40" s="9">
        <v>8</v>
      </c>
      <c r="G40" s="9">
        <v>0</v>
      </c>
      <c r="H40" s="9">
        <v>14</v>
      </c>
      <c r="I40" s="9">
        <v>55057</v>
      </c>
      <c r="J40" s="9">
        <v>55065</v>
      </c>
      <c r="K40" s="16">
        <f t="shared" si="0"/>
        <v>3.6325989429137077E-4</v>
      </c>
      <c r="L40" s="29">
        <f t="shared" si="1"/>
        <v>40.002906079154336</v>
      </c>
    </row>
    <row r="41" spans="1:12" ht="15.65" x14ac:dyDescent="0.25">
      <c r="A41" s="8" t="s">
        <v>137</v>
      </c>
      <c r="B41" s="9">
        <v>0</v>
      </c>
      <c r="C41" s="9">
        <v>45</v>
      </c>
      <c r="D41" s="10">
        <v>0</v>
      </c>
      <c r="E41" s="9">
        <v>0</v>
      </c>
      <c r="F41" s="9">
        <v>5</v>
      </c>
      <c r="G41" s="9">
        <v>0</v>
      </c>
      <c r="H41" s="9">
        <v>5</v>
      </c>
      <c r="I41" s="9">
        <v>20113</v>
      </c>
      <c r="J41" s="9">
        <v>20158</v>
      </c>
      <c r="K41" s="16">
        <f t="shared" si="0"/>
        <v>2.2373589220901903E-3</v>
      </c>
      <c r="L41" s="29">
        <f t="shared" si="1"/>
        <v>90.100681151494058</v>
      </c>
    </row>
    <row r="42" spans="1:12" ht="15.65" x14ac:dyDescent="0.25">
      <c r="A42" s="8" t="s">
        <v>59</v>
      </c>
      <c r="B42" s="9">
        <v>6</v>
      </c>
      <c r="C42" s="9">
        <v>10</v>
      </c>
      <c r="D42" s="10">
        <v>0</v>
      </c>
      <c r="E42" s="9">
        <v>6</v>
      </c>
      <c r="F42" s="9">
        <v>10</v>
      </c>
      <c r="G42" s="9">
        <v>0</v>
      </c>
      <c r="H42" s="9">
        <v>16</v>
      </c>
      <c r="I42" s="9">
        <v>39109</v>
      </c>
      <c r="J42" s="9">
        <v>39119</v>
      </c>
      <c r="K42" s="16">
        <f t="shared" si="0"/>
        <v>4.0911299189444884E-4</v>
      </c>
      <c r="L42" s="29">
        <f t="shared" si="1"/>
        <v>32.004091129918947</v>
      </c>
    </row>
    <row r="43" spans="1:12" ht="15.65" x14ac:dyDescent="0.25">
      <c r="A43" s="8" t="s">
        <v>26</v>
      </c>
      <c r="B43" s="9">
        <v>23</v>
      </c>
      <c r="C43" s="9">
        <v>50</v>
      </c>
      <c r="D43" s="10">
        <v>0</v>
      </c>
      <c r="E43" s="9">
        <v>6</v>
      </c>
      <c r="F43" s="9">
        <v>10</v>
      </c>
      <c r="G43" s="9">
        <v>0</v>
      </c>
      <c r="H43" s="9">
        <v>16</v>
      </c>
      <c r="I43" s="9">
        <v>137419</v>
      </c>
      <c r="J43" s="9">
        <v>137469</v>
      </c>
      <c r="K43" s="16">
        <f t="shared" si="0"/>
        <v>5.3122202897707012E-4</v>
      </c>
      <c r="L43" s="29">
        <f t="shared" si="1"/>
        <v>146.02656110144886</v>
      </c>
    </row>
    <row r="44" spans="1:12" ht="15.65" x14ac:dyDescent="0.25">
      <c r="A44" s="8" t="s">
        <v>60</v>
      </c>
      <c r="B44" s="9">
        <v>6</v>
      </c>
      <c r="C44" s="9">
        <v>13</v>
      </c>
      <c r="D44" s="10">
        <v>0</v>
      </c>
      <c r="E44" s="9">
        <v>6</v>
      </c>
      <c r="F44" s="9">
        <v>12</v>
      </c>
      <c r="G44" s="9">
        <v>0</v>
      </c>
      <c r="H44" s="9">
        <v>18</v>
      </c>
      <c r="I44" s="9">
        <v>49923</v>
      </c>
      <c r="J44" s="9">
        <v>49938</v>
      </c>
      <c r="K44" s="16">
        <f t="shared" si="0"/>
        <v>3.8058610259800093E-4</v>
      </c>
      <c r="L44" s="29">
        <f t="shared" si="1"/>
        <v>38.005708791538972</v>
      </c>
    </row>
    <row r="45" spans="1:12" ht="15.65" x14ac:dyDescent="0.25">
      <c r="A45" s="8" t="s">
        <v>61</v>
      </c>
      <c r="B45" s="9">
        <v>40</v>
      </c>
      <c r="C45" s="9">
        <v>186</v>
      </c>
      <c r="D45" s="10">
        <v>0</v>
      </c>
      <c r="E45" s="9">
        <v>6</v>
      </c>
      <c r="F45" s="9">
        <v>10</v>
      </c>
      <c r="G45" s="9">
        <v>0</v>
      </c>
      <c r="H45" s="9">
        <v>16</v>
      </c>
      <c r="I45" s="9">
        <v>209649</v>
      </c>
      <c r="J45" s="9">
        <v>209838</v>
      </c>
      <c r="K45" s="16">
        <f t="shared" si="0"/>
        <v>1.0779922632590663E-3</v>
      </c>
      <c r="L45" s="29">
        <f t="shared" si="1"/>
        <v>452.20374053775595</v>
      </c>
    </row>
    <row r="46" spans="1:12" ht="15.65" x14ac:dyDescent="0.25">
      <c r="A46" s="8" t="s">
        <v>62</v>
      </c>
      <c r="B46" s="9">
        <v>0</v>
      </c>
      <c r="C46" s="9">
        <v>4</v>
      </c>
      <c r="D46" s="10">
        <v>0</v>
      </c>
      <c r="E46" s="9">
        <v>0</v>
      </c>
      <c r="F46" s="9">
        <v>4</v>
      </c>
      <c r="G46" s="9">
        <v>0</v>
      </c>
      <c r="H46" s="9">
        <v>4</v>
      </c>
      <c r="I46" s="9">
        <v>8211</v>
      </c>
      <c r="J46" s="9">
        <v>8215</v>
      </c>
      <c r="K46" s="16">
        <f t="shared" si="0"/>
        <v>4.8715138229204726E-4</v>
      </c>
      <c r="L46" s="29">
        <f t="shared" si="1"/>
        <v>8.0019486055291686</v>
      </c>
    </row>
    <row r="47" spans="1:12" ht="15.65" x14ac:dyDescent="0.25">
      <c r="A47" s="8" t="s">
        <v>27</v>
      </c>
      <c r="B47" s="9">
        <v>6</v>
      </c>
      <c r="C47" s="9">
        <v>15</v>
      </c>
      <c r="D47" s="10">
        <v>0</v>
      </c>
      <c r="E47" s="9">
        <v>6</v>
      </c>
      <c r="F47" s="9">
        <v>15</v>
      </c>
      <c r="G47" s="9">
        <v>0</v>
      </c>
      <c r="H47" s="9">
        <v>21</v>
      </c>
      <c r="I47" s="9">
        <v>148955</v>
      </c>
      <c r="J47" s="9">
        <v>148970</v>
      </c>
      <c r="K47" s="16">
        <f t="shared" si="0"/>
        <v>1.4098217582491357E-4</v>
      </c>
      <c r="L47" s="29">
        <f t="shared" si="1"/>
        <v>42.002114732637374</v>
      </c>
    </row>
    <row r="48" spans="1:12" ht="15.65" x14ac:dyDescent="0.25">
      <c r="A48" s="17" t="s">
        <v>28</v>
      </c>
      <c r="B48" s="18">
        <v>6</v>
      </c>
      <c r="C48" s="18">
        <v>16</v>
      </c>
      <c r="D48" s="19">
        <v>0</v>
      </c>
      <c r="E48" s="18">
        <v>6</v>
      </c>
      <c r="F48" s="18">
        <v>10</v>
      </c>
      <c r="G48" s="18">
        <v>0</v>
      </c>
      <c r="H48" s="18">
        <v>16</v>
      </c>
      <c r="I48" s="18">
        <v>63377</v>
      </c>
      <c r="J48" s="18">
        <v>63393</v>
      </c>
      <c r="K48" s="20">
        <f t="shared" si="0"/>
        <v>3.4712908468371805E-4</v>
      </c>
      <c r="L48" s="29">
        <f t="shared" si="1"/>
        <v>44.005554065354936</v>
      </c>
    </row>
    <row r="49" spans="1:12" ht="15.65" x14ac:dyDescent="0.25">
      <c r="A49" s="8" t="s">
        <v>29</v>
      </c>
      <c r="B49" s="9">
        <v>40</v>
      </c>
      <c r="C49" s="9">
        <v>12</v>
      </c>
      <c r="D49" s="10">
        <v>0</v>
      </c>
      <c r="E49" s="9">
        <v>4</v>
      </c>
      <c r="F49" s="9">
        <v>3</v>
      </c>
      <c r="G49" s="9">
        <v>0</v>
      </c>
      <c r="H49" s="9">
        <v>7</v>
      </c>
      <c r="I49" s="9">
        <v>288622</v>
      </c>
      <c r="J49" s="9">
        <v>288628</v>
      </c>
      <c r="K49" s="16">
        <f t="shared" si="0"/>
        <v>1.8016644607826154E-4</v>
      </c>
      <c r="L49" s="29">
        <f t="shared" si="1"/>
        <v>104.00108099867647</v>
      </c>
    </row>
    <row r="50" spans="1:12" ht="15.65" x14ac:dyDescent="0.25">
      <c r="A50" s="8" t="s">
        <v>63</v>
      </c>
      <c r="B50" s="9">
        <v>1</v>
      </c>
      <c r="C50" s="9">
        <v>0</v>
      </c>
      <c r="D50" s="10">
        <v>0</v>
      </c>
      <c r="E50" s="9">
        <v>1</v>
      </c>
      <c r="F50" s="9">
        <v>0</v>
      </c>
      <c r="G50" s="9">
        <v>0</v>
      </c>
      <c r="H50" s="9">
        <v>1</v>
      </c>
      <c r="I50" s="9">
        <v>2759</v>
      </c>
      <c r="J50" s="9">
        <v>2759</v>
      </c>
      <c r="K50" s="16">
        <f t="shared" ref="K50:K69" si="2">(D50+C50+B50)/I50</f>
        <v>3.6245016310257339E-4</v>
      </c>
      <c r="L50" s="29">
        <f t="shared" ref="L50:L69" si="3">(I50+J50)*K50</f>
        <v>2</v>
      </c>
    </row>
    <row r="51" spans="1:12" ht="15.65" x14ac:dyDescent="0.25">
      <c r="A51" s="8" t="s">
        <v>138</v>
      </c>
      <c r="B51" s="9">
        <v>1</v>
      </c>
      <c r="C51" s="9">
        <v>0</v>
      </c>
      <c r="D51" s="10">
        <v>0</v>
      </c>
      <c r="E51" s="9">
        <v>1</v>
      </c>
      <c r="F51" s="9">
        <v>0</v>
      </c>
      <c r="G51" s="9">
        <v>0</v>
      </c>
      <c r="H51" s="9">
        <v>1</v>
      </c>
      <c r="I51" s="9">
        <v>44522</v>
      </c>
      <c r="J51" s="9">
        <v>44521</v>
      </c>
      <c r="K51" s="16">
        <f t="shared" si="2"/>
        <v>2.2460805893715468E-5</v>
      </c>
      <c r="L51" s="29">
        <f t="shared" si="3"/>
        <v>1.9999775391941064</v>
      </c>
    </row>
    <row r="52" spans="1:12" ht="15.65" x14ac:dyDescent="0.25">
      <c r="A52" s="8" t="s">
        <v>64</v>
      </c>
      <c r="B52" s="9">
        <v>8</v>
      </c>
      <c r="C52" s="9">
        <v>12</v>
      </c>
      <c r="D52" s="10">
        <v>0</v>
      </c>
      <c r="E52" s="9">
        <v>6</v>
      </c>
      <c r="F52" s="9">
        <v>10</v>
      </c>
      <c r="G52" s="9">
        <v>0</v>
      </c>
      <c r="H52" s="9">
        <v>16</v>
      </c>
      <c r="I52" s="9">
        <v>62514</v>
      </c>
      <c r="J52" s="9">
        <v>62526</v>
      </c>
      <c r="K52" s="16">
        <f t="shared" si="2"/>
        <v>3.199283360527242E-4</v>
      </c>
      <c r="L52" s="29">
        <f t="shared" si="3"/>
        <v>40.003839140032632</v>
      </c>
    </row>
    <row r="53" spans="1:12" ht="15.65" x14ac:dyDescent="0.25">
      <c r="A53" s="8" t="s">
        <v>30</v>
      </c>
      <c r="B53" s="9">
        <v>12</v>
      </c>
      <c r="C53" s="9">
        <v>10</v>
      </c>
      <c r="D53" s="10">
        <v>0</v>
      </c>
      <c r="E53" s="9">
        <v>5</v>
      </c>
      <c r="F53" s="9">
        <v>8</v>
      </c>
      <c r="G53" s="9">
        <v>0</v>
      </c>
      <c r="H53" s="9">
        <v>13</v>
      </c>
      <c r="I53" s="9">
        <v>51386</v>
      </c>
      <c r="J53" s="9">
        <v>51398</v>
      </c>
      <c r="K53" s="16">
        <f t="shared" si="2"/>
        <v>4.2813217607908768E-4</v>
      </c>
      <c r="L53" s="29">
        <f t="shared" si="3"/>
        <v>44.005137586112951</v>
      </c>
    </row>
    <row r="54" spans="1:12" ht="15.65" x14ac:dyDescent="0.25">
      <c r="A54" s="17" t="s">
        <v>65</v>
      </c>
      <c r="B54" s="18">
        <v>37</v>
      </c>
      <c r="C54" s="18">
        <v>26</v>
      </c>
      <c r="D54" s="19">
        <v>0</v>
      </c>
      <c r="E54" s="18">
        <v>6</v>
      </c>
      <c r="F54" s="18">
        <v>10</v>
      </c>
      <c r="G54" s="18">
        <v>0</v>
      </c>
      <c r="H54" s="18">
        <v>16</v>
      </c>
      <c r="I54" s="18">
        <v>188533</v>
      </c>
      <c r="J54" s="18">
        <v>188565</v>
      </c>
      <c r="K54" s="20">
        <f t="shared" si="2"/>
        <v>3.3415900664605133E-4</v>
      </c>
      <c r="L54" s="29">
        <f t="shared" si="3"/>
        <v>126.01069308821266</v>
      </c>
    </row>
    <row r="55" spans="1:12" ht="15.65" x14ac:dyDescent="0.25">
      <c r="A55" s="8" t="s">
        <v>66</v>
      </c>
      <c r="B55" s="9">
        <v>80</v>
      </c>
      <c r="C55" s="9">
        <v>2</v>
      </c>
      <c r="D55" s="10">
        <v>0</v>
      </c>
      <c r="E55" s="9">
        <v>5</v>
      </c>
      <c r="F55" s="9">
        <v>1</v>
      </c>
      <c r="G55" s="9">
        <v>0</v>
      </c>
      <c r="H55" s="9">
        <v>6</v>
      </c>
      <c r="I55" s="9">
        <v>567686</v>
      </c>
      <c r="J55" s="9">
        <v>567695</v>
      </c>
      <c r="K55" s="16">
        <f t="shared" si="2"/>
        <v>1.444460494005489E-4</v>
      </c>
      <c r="L55" s="29">
        <f t="shared" si="3"/>
        <v>164.00130001444461</v>
      </c>
    </row>
    <row r="56" spans="1:12" ht="15.65" x14ac:dyDescent="0.25">
      <c r="A56" s="8" t="s">
        <v>31</v>
      </c>
      <c r="B56" s="9">
        <v>40</v>
      </c>
      <c r="C56" s="9">
        <v>12</v>
      </c>
      <c r="D56" s="10">
        <v>0</v>
      </c>
      <c r="E56" s="9">
        <v>4</v>
      </c>
      <c r="F56" s="9">
        <v>3</v>
      </c>
      <c r="G56" s="9">
        <v>0</v>
      </c>
      <c r="H56" s="9">
        <v>7</v>
      </c>
      <c r="I56" s="9">
        <v>286723</v>
      </c>
      <c r="J56" s="9">
        <v>286729</v>
      </c>
      <c r="K56" s="16">
        <f t="shared" si="2"/>
        <v>1.8135970954544979E-4</v>
      </c>
      <c r="L56" s="29">
        <f t="shared" si="3"/>
        <v>104.00108815825728</v>
      </c>
    </row>
    <row r="57" spans="1:12" ht="15.65" x14ac:dyDescent="0.25">
      <c r="A57" s="8" t="s">
        <v>139</v>
      </c>
      <c r="B57" s="9">
        <v>0</v>
      </c>
      <c r="C57" s="9">
        <v>31</v>
      </c>
      <c r="D57" s="10">
        <v>0</v>
      </c>
      <c r="E57" s="9">
        <v>0</v>
      </c>
      <c r="F57" s="9">
        <v>2</v>
      </c>
      <c r="G57" s="9">
        <v>0</v>
      </c>
      <c r="H57" s="9">
        <v>2</v>
      </c>
      <c r="I57" s="9">
        <v>100391</v>
      </c>
      <c r="J57" s="9">
        <v>100429</v>
      </c>
      <c r="K57" s="16">
        <f t="shared" si="2"/>
        <v>3.0879262085246683E-4</v>
      </c>
      <c r="L57" s="29">
        <f t="shared" si="3"/>
        <v>62.01173411959239</v>
      </c>
    </row>
    <row r="58" spans="1:12" ht="15.65" x14ac:dyDescent="0.25">
      <c r="A58" s="8" t="s">
        <v>67</v>
      </c>
      <c r="B58" s="9">
        <v>0</v>
      </c>
      <c r="C58" s="9">
        <v>2</v>
      </c>
      <c r="D58" s="10">
        <v>0</v>
      </c>
      <c r="E58" s="9">
        <v>0</v>
      </c>
      <c r="F58" s="9">
        <v>1</v>
      </c>
      <c r="G58" s="9">
        <v>0</v>
      </c>
      <c r="H58" s="9">
        <v>1</v>
      </c>
      <c r="I58" s="9">
        <v>5289</v>
      </c>
      <c r="J58" s="9">
        <v>5291</v>
      </c>
      <c r="K58" s="16">
        <f t="shared" si="2"/>
        <v>3.7814331631688409E-4</v>
      </c>
      <c r="L58" s="29">
        <f t="shared" si="3"/>
        <v>4.0007562866326341</v>
      </c>
    </row>
    <row r="59" spans="1:12" ht="15.65" x14ac:dyDescent="0.25">
      <c r="A59" s="8" t="s">
        <v>68</v>
      </c>
      <c r="B59" s="9">
        <v>5</v>
      </c>
      <c r="C59" s="9">
        <v>14</v>
      </c>
      <c r="D59" s="10">
        <v>0</v>
      </c>
      <c r="E59" s="9">
        <v>3</v>
      </c>
      <c r="F59" s="9">
        <v>8</v>
      </c>
      <c r="G59" s="9">
        <v>0</v>
      </c>
      <c r="H59" s="9">
        <v>11</v>
      </c>
      <c r="I59" s="9">
        <v>19069</v>
      </c>
      <c r="J59" s="9">
        <v>19083</v>
      </c>
      <c r="K59" s="16">
        <f t="shared" si="2"/>
        <v>9.9638156169699508E-4</v>
      </c>
      <c r="L59" s="29">
        <f t="shared" si="3"/>
        <v>38.013949341863757</v>
      </c>
    </row>
    <row r="60" spans="1:12" ht="15.65" x14ac:dyDescent="0.25">
      <c r="A60" s="8" t="s">
        <v>69</v>
      </c>
      <c r="B60" s="9">
        <v>6</v>
      </c>
      <c r="C60" s="9">
        <v>14</v>
      </c>
      <c r="D60" s="10">
        <v>0</v>
      </c>
      <c r="E60" s="9">
        <v>6</v>
      </c>
      <c r="F60" s="9">
        <v>14</v>
      </c>
      <c r="G60" s="9">
        <v>0</v>
      </c>
      <c r="H60" s="9">
        <v>20</v>
      </c>
      <c r="I60" s="9">
        <v>37388</v>
      </c>
      <c r="J60" s="9">
        <v>37400</v>
      </c>
      <c r="K60" s="16">
        <f t="shared" si="2"/>
        <v>5.3493099390178669E-4</v>
      </c>
      <c r="L60" s="29">
        <f t="shared" si="3"/>
        <v>40.006419171926822</v>
      </c>
    </row>
    <row r="61" spans="1:12" ht="15.65" x14ac:dyDescent="0.25">
      <c r="A61" s="8" t="s">
        <v>32</v>
      </c>
      <c r="B61" s="9">
        <v>10</v>
      </c>
      <c r="C61" s="9">
        <v>12</v>
      </c>
      <c r="D61" s="10">
        <v>0</v>
      </c>
      <c r="E61" s="9">
        <v>6</v>
      </c>
      <c r="F61" s="9">
        <v>10</v>
      </c>
      <c r="G61" s="9">
        <v>0</v>
      </c>
      <c r="H61" s="9">
        <v>16</v>
      </c>
      <c r="I61" s="9">
        <v>64294</v>
      </c>
      <c r="J61" s="9">
        <v>64307</v>
      </c>
      <c r="K61" s="16">
        <f t="shared" si="2"/>
        <v>3.4217811926462812E-4</v>
      </c>
      <c r="L61" s="29">
        <f t="shared" si="3"/>
        <v>44.004448315550441</v>
      </c>
    </row>
    <row r="62" spans="1:12" ht="15.65" x14ac:dyDescent="0.25">
      <c r="A62" s="8" t="s">
        <v>140</v>
      </c>
      <c r="B62" s="9">
        <v>0</v>
      </c>
      <c r="C62" s="9">
        <v>32</v>
      </c>
      <c r="D62" s="10">
        <v>0</v>
      </c>
      <c r="E62" s="9">
        <v>0</v>
      </c>
      <c r="F62" s="9">
        <v>2</v>
      </c>
      <c r="G62" s="12">
        <v>0</v>
      </c>
      <c r="H62" s="12">
        <v>2</v>
      </c>
      <c r="I62" s="12">
        <v>39</v>
      </c>
      <c r="J62" s="12">
        <v>71</v>
      </c>
      <c r="K62" s="16">
        <f t="shared" si="2"/>
        <v>0.82051282051282048</v>
      </c>
      <c r="L62" s="29">
        <f t="shared" si="3"/>
        <v>90.256410256410248</v>
      </c>
    </row>
    <row r="63" spans="1:12" ht="15.65" x14ac:dyDescent="0.25">
      <c r="A63" s="8" t="s">
        <v>70</v>
      </c>
      <c r="B63" s="9">
        <v>0</v>
      </c>
      <c r="C63" s="9">
        <v>28</v>
      </c>
      <c r="D63" s="10">
        <v>0</v>
      </c>
      <c r="E63" s="9">
        <v>0</v>
      </c>
      <c r="F63" s="9">
        <v>2</v>
      </c>
      <c r="G63" s="9">
        <v>0</v>
      </c>
      <c r="H63" s="9">
        <v>2</v>
      </c>
      <c r="I63" s="9">
        <v>90653</v>
      </c>
      <c r="J63" s="9">
        <v>90681</v>
      </c>
      <c r="K63" s="16">
        <f t="shared" si="2"/>
        <v>3.088700870351781E-4</v>
      </c>
      <c r="L63" s="29">
        <f t="shared" si="3"/>
        <v>56.008648362436986</v>
      </c>
    </row>
    <row r="64" spans="1:12" ht="15.65" x14ac:dyDescent="0.25">
      <c r="A64" s="17" t="s">
        <v>33</v>
      </c>
      <c r="B64" s="18">
        <v>2</v>
      </c>
      <c r="C64" s="18">
        <v>0</v>
      </c>
      <c r="D64" s="19">
        <v>0</v>
      </c>
      <c r="E64" s="18">
        <v>1</v>
      </c>
      <c r="F64" s="18">
        <v>0</v>
      </c>
      <c r="G64" s="18">
        <v>0</v>
      </c>
      <c r="H64" s="18">
        <v>1</v>
      </c>
      <c r="I64" s="18">
        <v>29368</v>
      </c>
      <c r="J64" s="18">
        <v>29368</v>
      </c>
      <c r="K64" s="20">
        <f t="shared" si="2"/>
        <v>6.810133478616181E-5</v>
      </c>
      <c r="L64" s="29">
        <f t="shared" si="3"/>
        <v>4</v>
      </c>
    </row>
    <row r="65" spans="1:12" ht="15.65" x14ac:dyDescent="0.25">
      <c r="A65" s="8" t="s">
        <v>71</v>
      </c>
      <c r="B65" s="9">
        <v>8</v>
      </c>
      <c r="C65" s="9">
        <v>0</v>
      </c>
      <c r="D65" s="10">
        <v>0</v>
      </c>
      <c r="E65" s="9">
        <v>2</v>
      </c>
      <c r="F65" s="9">
        <v>0</v>
      </c>
      <c r="G65" s="9">
        <v>0</v>
      </c>
      <c r="H65" s="9">
        <v>2</v>
      </c>
      <c r="I65" s="9">
        <v>192490</v>
      </c>
      <c r="J65" s="9">
        <v>192482</v>
      </c>
      <c r="K65" s="16">
        <f t="shared" si="2"/>
        <v>4.1560600550677955E-5</v>
      </c>
      <c r="L65" s="29">
        <f t="shared" si="3"/>
        <v>15.999667515195593</v>
      </c>
    </row>
    <row r="66" spans="1:12" ht="15.65" x14ac:dyDescent="0.25">
      <c r="A66" s="8" t="s">
        <v>35</v>
      </c>
      <c r="B66" s="9">
        <v>324</v>
      </c>
      <c r="C66" s="9">
        <v>5464</v>
      </c>
      <c r="D66" s="10">
        <v>20417</v>
      </c>
      <c r="E66" s="9">
        <v>8</v>
      </c>
      <c r="F66" s="9">
        <v>46</v>
      </c>
      <c r="G66" s="9">
        <v>257</v>
      </c>
      <c r="H66" s="9">
        <v>283</v>
      </c>
      <c r="I66" s="9">
        <v>755717</v>
      </c>
      <c r="J66" s="9">
        <v>761174</v>
      </c>
      <c r="K66" s="16">
        <f t="shared" si="2"/>
        <v>3.4675678858620357E-2</v>
      </c>
      <c r="L66" s="29">
        <f t="shared" si="3"/>
        <v>52599.225179531495</v>
      </c>
    </row>
    <row r="67" spans="1:12" ht="15.65" x14ac:dyDescent="0.25">
      <c r="A67" s="17" t="s">
        <v>72</v>
      </c>
      <c r="B67" s="18">
        <v>0</v>
      </c>
      <c r="C67" s="18">
        <v>12</v>
      </c>
      <c r="D67" s="19">
        <v>0</v>
      </c>
      <c r="E67" s="18">
        <v>0</v>
      </c>
      <c r="F67" s="18">
        <v>2</v>
      </c>
      <c r="G67" s="18">
        <v>0</v>
      </c>
      <c r="H67" s="18">
        <v>2</v>
      </c>
      <c r="I67" s="18">
        <v>3861</v>
      </c>
      <c r="J67" s="18">
        <v>3873</v>
      </c>
      <c r="K67" s="20">
        <f t="shared" si="2"/>
        <v>3.108003108003108E-3</v>
      </c>
      <c r="L67" s="29">
        <f t="shared" si="3"/>
        <v>24.037296037296038</v>
      </c>
    </row>
    <row r="68" spans="1:12" ht="15.65" x14ac:dyDescent="0.25">
      <c r="A68" s="8" t="s">
        <v>73</v>
      </c>
      <c r="B68" s="9">
        <v>9</v>
      </c>
      <c r="C68" s="9">
        <v>0</v>
      </c>
      <c r="D68" s="10">
        <v>0</v>
      </c>
      <c r="E68" s="9">
        <v>4</v>
      </c>
      <c r="F68" s="9">
        <v>0</v>
      </c>
      <c r="G68" s="9">
        <v>0</v>
      </c>
      <c r="H68" s="9">
        <v>4</v>
      </c>
      <c r="I68" s="9">
        <v>22826</v>
      </c>
      <c r="J68" s="9">
        <v>22826</v>
      </c>
      <c r="K68" s="16">
        <f t="shared" si="2"/>
        <v>3.9428721633225268E-4</v>
      </c>
      <c r="L68" s="29">
        <f t="shared" si="3"/>
        <v>18</v>
      </c>
    </row>
    <row r="69" spans="1:12" ht="15.65" x14ac:dyDescent="0.25">
      <c r="A69" s="8" t="s">
        <v>74</v>
      </c>
      <c r="B69" s="9">
        <v>0</v>
      </c>
      <c r="C69" s="9">
        <v>203</v>
      </c>
      <c r="D69" s="10">
        <v>0</v>
      </c>
      <c r="E69" s="9">
        <v>0</v>
      </c>
      <c r="F69" s="9">
        <v>1</v>
      </c>
      <c r="G69" s="9">
        <v>0</v>
      </c>
      <c r="H69" s="9">
        <v>1</v>
      </c>
      <c r="I69" s="9">
        <v>11897</v>
      </c>
      <c r="J69" s="9">
        <v>12100</v>
      </c>
      <c r="K69" s="16">
        <f t="shared" si="2"/>
        <v>1.7063125157602756E-2</v>
      </c>
      <c r="L69" s="29">
        <f t="shared" si="3"/>
        <v>409.46381440699332</v>
      </c>
    </row>
    <row r="70" spans="1:12" ht="15.65" x14ac:dyDescent="0.25">
      <c r="A70" s="8" t="s">
        <v>36</v>
      </c>
      <c r="B70" s="9">
        <v>0</v>
      </c>
      <c r="C70" s="9">
        <v>1</v>
      </c>
      <c r="D70" s="10">
        <v>0</v>
      </c>
      <c r="E70" s="9">
        <v>0</v>
      </c>
      <c r="F70" s="9">
        <v>1</v>
      </c>
      <c r="G70" s="9">
        <v>0</v>
      </c>
      <c r="H70" s="9">
        <v>1</v>
      </c>
      <c r="I70" s="9">
        <v>191809</v>
      </c>
      <c r="J70" s="9">
        <v>191810</v>
      </c>
      <c r="K70" s="16">
        <f>(D70+C70+B70)/I70</f>
        <v>5.2135196992841835E-6</v>
      </c>
      <c r="L70" s="29">
        <f>(I70+J70)*K70</f>
        <v>2.0000052135196991</v>
      </c>
    </row>
    <row r="71" spans="1:12" ht="15.65" x14ac:dyDescent="0.25">
      <c r="B71" s="18">
        <f>SUM(Tableau326[Nombre de ligne du 
schéma A absente du B])</f>
        <v>1250</v>
      </c>
      <c r="C71" s="18">
        <f>SUM(Tableau326[Nombre de ligne du 
schéma B absente du A])</f>
        <v>7174</v>
      </c>
      <c r="D71" s="18">
        <f>SUM(Tableau326[Nombre de lignes présentent 
dans les deux schémas 
mais ayant un contenu différent ])</f>
        <v>21072</v>
      </c>
    </row>
  </sheetData>
  <mergeCells count="4">
    <mergeCell ref="A12:K12"/>
    <mergeCell ref="A16:K16"/>
    <mergeCell ref="A1:K1"/>
    <mergeCell ref="A7:K7"/>
  </mergeCells>
  <conditionalFormatting sqref="L9">
    <cfRule type="colorScale" priority="1">
      <colorScale>
        <cfvo type="min"/>
        <cfvo type="max"/>
        <color rgb="FFFCFCFF"/>
        <color rgb="FFF8696B"/>
      </colorScale>
    </cfRule>
  </conditionalFormatting>
  <conditionalFormatting sqref="L14">
    <cfRule type="colorScale" priority="4">
      <colorScale>
        <cfvo type="min"/>
        <cfvo type="max"/>
        <color rgb="FFFCFCFF"/>
        <color rgb="FFF8696B"/>
      </colorScale>
    </cfRule>
  </conditionalFormatting>
  <conditionalFormatting sqref="L18:L70">
    <cfRule type="colorScale" priority="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5"/>
  <sheetViews>
    <sheetView workbookViewId="0">
      <selection activeCell="A15" sqref="A15:K15"/>
    </sheetView>
  </sheetViews>
  <sheetFormatPr baseColWidth="10" defaultRowHeight="12.9" x14ac:dyDescent="0.2"/>
  <cols>
    <col min="1" max="1" width="27.375" customWidth="1"/>
    <col min="2" max="2" width="22.25" style="6" bestFit="1" customWidth="1"/>
    <col min="3" max="3" width="22.25" bestFit="1" customWidth="1"/>
    <col min="4" max="4" width="22.25" customWidth="1"/>
    <col min="5" max="5" width="16" customWidth="1"/>
    <col min="6" max="6" width="16.875" bestFit="1" customWidth="1"/>
    <col min="7" max="10" width="13.625" customWidth="1"/>
    <col min="11" max="11" width="16.375" bestFit="1" customWidth="1"/>
    <col min="12" max="12" width="8.625" customWidth="1"/>
  </cols>
  <sheetData>
    <row r="1" spans="1:12" ht="26.35" customHeight="1" x14ac:dyDescent="0.35">
      <c r="A1" s="38" t="s">
        <v>141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26"/>
    </row>
    <row r="2" spans="1:12" ht="12.75" customHeight="1" x14ac:dyDescent="0.2">
      <c r="D2" s="2"/>
      <c r="E2" s="2"/>
      <c r="F2" s="2"/>
      <c r="G2" s="2"/>
      <c r="H2" s="2"/>
      <c r="I2" s="2"/>
      <c r="J2" s="2"/>
      <c r="K2" s="2"/>
    </row>
    <row r="3" spans="1:12" ht="49.6" thickBot="1" x14ac:dyDescent="0.35">
      <c r="A3" s="14" t="s">
        <v>12</v>
      </c>
    </row>
    <row r="4" spans="1:12" ht="13.6" thickTop="1" x14ac:dyDescent="0.2">
      <c r="B4"/>
      <c r="C4" s="1"/>
      <c r="D4" s="3"/>
    </row>
    <row r="5" spans="1:12" x14ac:dyDescent="0.2">
      <c r="A5" t="s">
        <v>177</v>
      </c>
      <c r="C5" s="1"/>
    </row>
    <row r="6" spans="1:12" ht="24.45" thickBot="1" x14ac:dyDescent="0.45">
      <c r="A6" s="37" t="s">
        <v>5</v>
      </c>
      <c r="B6" s="37"/>
      <c r="C6" s="37"/>
      <c r="D6" s="37"/>
      <c r="E6" s="37"/>
      <c r="F6" s="37"/>
      <c r="G6" s="37"/>
      <c r="H6" s="37"/>
      <c r="I6" s="37"/>
      <c r="J6" s="37"/>
      <c r="K6" s="37"/>
    </row>
    <row r="7" spans="1:12" ht="69.8" customHeight="1" thickTop="1" x14ac:dyDescent="0.2">
      <c r="A7" t="s">
        <v>2</v>
      </c>
      <c r="B7" s="21" t="s">
        <v>0</v>
      </c>
      <c r="C7" s="22" t="s">
        <v>1</v>
      </c>
      <c r="D7" s="23" t="s">
        <v>3</v>
      </c>
      <c r="E7" s="23" t="s">
        <v>6</v>
      </c>
      <c r="F7" s="23" t="s">
        <v>9</v>
      </c>
      <c r="G7" s="23" t="s">
        <v>7</v>
      </c>
      <c r="H7" s="23" t="s">
        <v>8</v>
      </c>
      <c r="I7" s="23" t="s">
        <v>4</v>
      </c>
      <c r="J7" s="23" t="s">
        <v>11</v>
      </c>
      <c r="K7" s="2" t="s">
        <v>10</v>
      </c>
      <c r="L7" t="s">
        <v>15</v>
      </c>
    </row>
    <row r="8" spans="1:12" ht="15.65" x14ac:dyDescent="0.25">
      <c r="A8" s="8"/>
      <c r="B8" s="9"/>
      <c r="C8" s="9"/>
      <c r="D8" s="10"/>
      <c r="E8" s="9"/>
      <c r="F8" s="9"/>
      <c r="G8" s="12"/>
      <c r="H8" s="12"/>
      <c r="I8" s="12"/>
      <c r="J8" s="12"/>
      <c r="K8" s="16" t="e">
        <f>(D8+C8+B8)/I8</f>
        <v>#DIV/0!</v>
      </c>
      <c r="L8" s="29" t="e">
        <f>(I8+J8)*K8</f>
        <v>#DIV/0!</v>
      </c>
    </row>
    <row r="9" spans="1:12" ht="15.65" x14ac:dyDescent="0.25">
      <c r="A9" s="8"/>
      <c r="B9" s="9"/>
      <c r="C9" s="9"/>
      <c r="D9" s="10"/>
      <c r="E9" s="9"/>
      <c r="F9" s="9"/>
      <c r="G9" s="9"/>
      <c r="H9" s="9"/>
      <c r="I9" s="9"/>
      <c r="J9" s="9"/>
      <c r="K9" s="16"/>
      <c r="L9" s="29"/>
    </row>
    <row r="10" spans="1:12" ht="15.65" x14ac:dyDescent="0.25">
      <c r="A10" s="8"/>
      <c r="B10" s="9"/>
      <c r="C10" s="9"/>
      <c r="D10" s="10"/>
      <c r="E10" s="9"/>
      <c r="F10" s="9"/>
      <c r="G10" s="12"/>
      <c r="H10" s="12"/>
      <c r="I10" s="12"/>
      <c r="J10" s="12"/>
      <c r="K10" s="15"/>
      <c r="L10" s="29"/>
    </row>
    <row r="11" spans="1:12" ht="24.45" thickBot="1" x14ac:dyDescent="0.45">
      <c r="A11" s="37" t="s">
        <v>13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</row>
    <row r="12" spans="1:12" ht="65.25" thickTop="1" x14ac:dyDescent="0.2">
      <c r="A12" t="s">
        <v>2</v>
      </c>
      <c r="B12" s="7" t="s">
        <v>0</v>
      </c>
      <c r="C12" s="5" t="s">
        <v>1</v>
      </c>
      <c r="D12" s="4" t="s">
        <v>3</v>
      </c>
      <c r="E12" s="2" t="s">
        <v>6</v>
      </c>
      <c r="F12" s="2" t="s">
        <v>9</v>
      </c>
      <c r="G12" s="2" t="s">
        <v>7</v>
      </c>
      <c r="H12" s="2" t="s">
        <v>8</v>
      </c>
      <c r="I12" s="2" t="s">
        <v>4</v>
      </c>
      <c r="J12" s="2" t="s">
        <v>11</v>
      </c>
      <c r="K12" s="2" t="s">
        <v>10</v>
      </c>
      <c r="L12" t="s">
        <v>15</v>
      </c>
    </row>
    <row r="13" spans="1:12" ht="15.65" x14ac:dyDescent="0.25">
      <c r="A13" s="8"/>
      <c r="B13" s="9"/>
      <c r="C13" s="9"/>
      <c r="D13" s="10"/>
      <c r="E13" s="9"/>
      <c r="F13" s="9"/>
      <c r="G13" s="9"/>
      <c r="H13" s="9"/>
      <c r="I13" s="9"/>
      <c r="J13" s="9"/>
      <c r="K13" s="30" t="e">
        <f>(D13+C13+B13)/I13</f>
        <v>#DIV/0!</v>
      </c>
      <c r="L13" s="29" t="e">
        <f>(I13+J13)*K13</f>
        <v>#DIV/0!</v>
      </c>
    </row>
    <row r="14" spans="1:12" ht="15.65" x14ac:dyDescent="0.25">
      <c r="A14" s="11"/>
      <c r="B14" s="12">
        <f>SUM(Tableau314161840729[Nombre de ligne du 
schéma A absente du B])+3</f>
        <v>3</v>
      </c>
      <c r="C14" s="12">
        <f>SUM(Tableau314161840729[Nombre de ligne du 
schéma B absente du A])+4</f>
        <v>4</v>
      </c>
      <c r="D14" s="12">
        <f>SUM(Tableau314161840729[Nombre de lignes présentent 
dans les deux schémas 
mais ayant un contenu différent ])+5</f>
        <v>5</v>
      </c>
      <c r="E14" s="12"/>
      <c r="F14" s="9"/>
      <c r="G14" s="12"/>
      <c r="H14" s="12"/>
      <c r="I14" s="12"/>
      <c r="J14" s="12"/>
      <c r="K14" s="15"/>
    </row>
    <row r="15" spans="1:12" ht="24.45" thickBot="1" x14ac:dyDescent="0.45">
      <c r="A15" s="37" t="s">
        <v>14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</row>
    <row r="16" spans="1:12" ht="65.25" thickTop="1" x14ac:dyDescent="0.2">
      <c r="A16" t="s">
        <v>2</v>
      </c>
      <c r="B16" s="21" t="s">
        <v>0</v>
      </c>
      <c r="C16" s="22" t="s">
        <v>1</v>
      </c>
      <c r="D16" s="23" t="s">
        <v>3</v>
      </c>
      <c r="E16" s="23" t="s">
        <v>6</v>
      </c>
      <c r="F16" s="23" t="s">
        <v>9</v>
      </c>
      <c r="G16" s="23" t="s">
        <v>7</v>
      </c>
      <c r="H16" s="23" t="s">
        <v>8</v>
      </c>
      <c r="I16" s="23" t="s">
        <v>4</v>
      </c>
      <c r="J16" s="23" t="s">
        <v>11</v>
      </c>
      <c r="K16" s="2" t="s">
        <v>10</v>
      </c>
      <c r="L16" t="s">
        <v>15</v>
      </c>
    </row>
    <row r="17" spans="1:12" ht="15.65" x14ac:dyDescent="0.25">
      <c r="A17" s="8" t="s">
        <v>37</v>
      </c>
      <c r="B17" s="9">
        <v>42</v>
      </c>
      <c r="C17" s="9">
        <v>28</v>
      </c>
      <c r="D17" s="10">
        <v>0</v>
      </c>
      <c r="E17" s="9">
        <v>8</v>
      </c>
      <c r="F17" s="9">
        <v>10</v>
      </c>
      <c r="G17" s="12">
        <v>0</v>
      </c>
      <c r="H17" s="12">
        <v>18</v>
      </c>
      <c r="I17" s="12">
        <v>225560</v>
      </c>
      <c r="J17" s="12">
        <v>225599</v>
      </c>
      <c r="K17" s="16">
        <f>(D17+C17+B17)/I17</f>
        <v>3.1033871253768398E-4</v>
      </c>
      <c r="L17" s="29">
        <f>(I17+J17)*K17</f>
        <v>140.01210320978896</v>
      </c>
    </row>
    <row r="18" spans="1:12" ht="15.65" x14ac:dyDescent="0.25">
      <c r="A18" s="8" t="s">
        <v>38</v>
      </c>
      <c r="B18" s="9">
        <v>302</v>
      </c>
      <c r="C18" s="9">
        <v>2811</v>
      </c>
      <c r="D18" s="10">
        <v>0</v>
      </c>
      <c r="E18" s="9">
        <v>7</v>
      </c>
      <c r="F18" s="9">
        <v>14</v>
      </c>
      <c r="G18" s="9">
        <v>0</v>
      </c>
      <c r="H18" s="9">
        <v>21</v>
      </c>
      <c r="I18" s="9">
        <v>642698</v>
      </c>
      <c r="J18" s="9">
        <v>645501</v>
      </c>
      <c r="K18" s="16">
        <f>(D18+C18+B18)/I18</f>
        <v>4.8436435153057893E-3</v>
      </c>
      <c r="L18" s="29">
        <f>(I18+J18)*K18</f>
        <v>6239.576732773402</v>
      </c>
    </row>
    <row r="19" spans="1:12" ht="15.65" x14ac:dyDescent="0.25">
      <c r="A19" s="8" t="s">
        <v>39</v>
      </c>
      <c r="B19" s="9">
        <v>5053</v>
      </c>
      <c r="C19" s="9">
        <v>3535</v>
      </c>
      <c r="D19" s="10">
        <v>0</v>
      </c>
      <c r="E19" s="9">
        <v>2013</v>
      </c>
      <c r="F19" s="9">
        <v>18</v>
      </c>
      <c r="G19" s="9">
        <v>0</v>
      </c>
      <c r="H19" s="9">
        <v>2031</v>
      </c>
      <c r="I19" s="9">
        <v>4279490</v>
      </c>
      <c r="J19" s="9">
        <v>4278197</v>
      </c>
      <c r="K19" s="16">
        <f>(D19+C19+B19)/I19</f>
        <v>2.0067811818698022E-3</v>
      </c>
      <c r="L19" s="29">
        <f>(I19+J19)*K19</f>
        <v>17173.405231931843</v>
      </c>
    </row>
    <row r="20" spans="1:12" ht="15.65" x14ac:dyDescent="0.25">
      <c r="A20" s="17" t="s">
        <v>40</v>
      </c>
      <c r="B20" s="18">
        <v>41</v>
      </c>
      <c r="C20" s="18">
        <v>61</v>
      </c>
      <c r="D20" s="19">
        <v>0</v>
      </c>
      <c r="E20" s="18">
        <v>7</v>
      </c>
      <c r="F20" s="18">
        <v>15</v>
      </c>
      <c r="G20" s="18">
        <v>0</v>
      </c>
      <c r="H20" s="18">
        <v>22</v>
      </c>
      <c r="I20" s="18">
        <v>144197</v>
      </c>
      <c r="J20" s="18">
        <v>144263</v>
      </c>
      <c r="K20" s="20">
        <f>(D20+C20+B20)/I20</f>
        <v>7.073656178699973E-4</v>
      </c>
      <c r="L20" s="29">
        <f>(I20+J20)*K20</f>
        <v>204.04668613077942</v>
      </c>
    </row>
    <row r="21" spans="1:12" ht="15.65" x14ac:dyDescent="0.25">
      <c r="A21" s="17"/>
      <c r="B21" s="18">
        <f>SUM(Tableau32630[Nombre de ligne du 
schéma A absente du B])</f>
        <v>5438</v>
      </c>
      <c r="C21" s="18">
        <f>SUM(Tableau32630[Nombre de ligne du 
schéma B absente du A])</f>
        <v>6435</v>
      </c>
      <c r="D21" s="18">
        <f>SUM(Tableau32630[Nombre de lignes présentent 
dans les deux schémas 
mais ayant un contenu différent ])</f>
        <v>0</v>
      </c>
      <c r="E21" s="18"/>
      <c r="F21" s="18"/>
      <c r="G21" s="18"/>
      <c r="H21" s="18"/>
      <c r="I21" s="18"/>
      <c r="J21" s="18"/>
      <c r="K21" s="20"/>
    </row>
    <row r="22" spans="1:12" ht="15.65" x14ac:dyDescent="0.25">
      <c r="A22" s="17"/>
      <c r="B22" s="18"/>
      <c r="C22" s="18"/>
      <c r="D22" s="19"/>
      <c r="E22" s="18"/>
      <c r="F22" s="18"/>
      <c r="G22" s="18"/>
      <c r="H22" s="18"/>
      <c r="I22" s="18"/>
      <c r="J22" s="18"/>
      <c r="K22" s="20"/>
    </row>
    <row r="23" spans="1:12" ht="15.65" x14ac:dyDescent="0.25">
      <c r="A23" s="17"/>
      <c r="B23" s="18"/>
      <c r="C23" s="18"/>
      <c r="D23" s="19"/>
      <c r="E23" s="18"/>
      <c r="F23" s="18"/>
      <c r="G23" s="18"/>
      <c r="H23" s="18"/>
      <c r="I23" s="18"/>
      <c r="J23" s="18"/>
      <c r="K23" s="20"/>
    </row>
    <row r="24" spans="1:12" ht="15.65" x14ac:dyDescent="0.25">
      <c r="A24" s="17"/>
      <c r="B24" s="18"/>
      <c r="C24" s="18"/>
      <c r="D24" s="19"/>
      <c r="E24" s="18"/>
      <c r="F24" s="18"/>
      <c r="G24" s="18"/>
      <c r="H24" s="18"/>
      <c r="I24" s="18"/>
      <c r="J24" s="18"/>
      <c r="K24" s="20"/>
    </row>
    <row r="25" spans="1:12" ht="15.65" x14ac:dyDescent="0.25">
      <c r="A25" s="8"/>
      <c r="B25" s="9"/>
      <c r="C25" s="9"/>
      <c r="D25" s="10"/>
      <c r="E25" s="9"/>
      <c r="F25" s="9"/>
      <c r="G25" s="9"/>
      <c r="H25" s="9"/>
      <c r="I25" s="9"/>
      <c r="J25" s="9"/>
      <c r="K25" s="16"/>
    </row>
    <row r="26" spans="1:12" ht="15.65" x14ac:dyDescent="0.25">
      <c r="A26" s="8"/>
      <c r="B26" s="9"/>
      <c r="C26" s="9"/>
      <c r="D26" s="10"/>
      <c r="E26" s="9"/>
      <c r="F26" s="9"/>
      <c r="G26" s="9"/>
      <c r="H26" s="9"/>
      <c r="I26" s="9"/>
      <c r="J26" s="9"/>
      <c r="K26" s="16"/>
    </row>
    <row r="27" spans="1:12" ht="15.65" x14ac:dyDescent="0.25">
      <c r="A27" s="8"/>
      <c r="B27" s="9"/>
      <c r="C27" s="9"/>
      <c r="D27" s="10"/>
      <c r="E27" s="9"/>
      <c r="F27" s="9"/>
      <c r="G27" s="9"/>
      <c r="H27" s="9"/>
      <c r="I27" s="9"/>
      <c r="J27" s="9"/>
      <c r="K27" s="16"/>
    </row>
    <row r="28" spans="1:12" ht="15.65" x14ac:dyDescent="0.25">
      <c r="A28" s="8"/>
      <c r="B28" s="9"/>
      <c r="C28" s="9"/>
      <c r="D28" s="10"/>
      <c r="E28" s="9"/>
      <c r="F28" s="9"/>
      <c r="G28" s="9"/>
      <c r="H28" s="9"/>
      <c r="I28" s="9"/>
      <c r="J28" s="9"/>
      <c r="K28" s="16"/>
    </row>
    <row r="29" spans="1:12" ht="15.65" x14ac:dyDescent="0.25">
      <c r="A29" s="8"/>
      <c r="B29" s="9"/>
      <c r="C29" s="9"/>
      <c r="D29" s="10"/>
      <c r="E29" s="9"/>
      <c r="F29" s="9"/>
      <c r="G29" s="9"/>
      <c r="H29" s="9"/>
      <c r="I29" s="9"/>
      <c r="J29" s="9"/>
      <c r="K29" s="16"/>
    </row>
    <row r="30" spans="1:12" ht="15.65" x14ac:dyDescent="0.25">
      <c r="A30" s="8"/>
      <c r="B30" s="9"/>
      <c r="C30" s="9"/>
      <c r="D30" s="10"/>
      <c r="E30" s="9"/>
      <c r="F30" s="9"/>
      <c r="G30" s="9"/>
      <c r="H30" s="9"/>
      <c r="I30" s="9"/>
      <c r="J30" s="9"/>
      <c r="K30" s="16"/>
    </row>
    <row r="31" spans="1:12" ht="15.65" x14ac:dyDescent="0.25">
      <c r="A31" s="8"/>
      <c r="B31" s="9"/>
      <c r="C31" s="9"/>
      <c r="D31" s="10"/>
      <c r="E31" s="9"/>
      <c r="F31" s="9"/>
      <c r="G31" s="9"/>
      <c r="H31" s="9"/>
      <c r="I31" s="9"/>
      <c r="J31" s="9"/>
      <c r="K31" s="16"/>
    </row>
    <row r="32" spans="1:12" ht="15.65" x14ac:dyDescent="0.25">
      <c r="A32" s="8"/>
      <c r="B32" s="9"/>
      <c r="C32" s="9"/>
      <c r="D32" s="10"/>
      <c r="E32" s="9"/>
      <c r="F32" s="9"/>
      <c r="G32" s="9"/>
      <c r="H32" s="9"/>
      <c r="I32" s="9"/>
      <c r="J32" s="9"/>
      <c r="K32" s="16"/>
    </row>
    <row r="33" spans="1:11" ht="15.65" x14ac:dyDescent="0.25">
      <c r="A33" s="8"/>
      <c r="B33" s="9"/>
      <c r="C33" s="9"/>
      <c r="D33" s="10"/>
      <c r="E33" s="9"/>
      <c r="F33" s="9"/>
      <c r="G33" s="9"/>
      <c r="H33" s="9"/>
      <c r="I33" s="9"/>
      <c r="J33" s="9"/>
      <c r="K33" s="16"/>
    </row>
    <row r="34" spans="1:11" ht="15.65" x14ac:dyDescent="0.25">
      <c r="A34" s="8"/>
      <c r="B34" s="9"/>
      <c r="C34" s="9"/>
      <c r="D34" s="10"/>
      <c r="E34" s="9"/>
      <c r="F34" s="9"/>
      <c r="G34" s="9"/>
      <c r="H34" s="9"/>
      <c r="I34" s="9"/>
      <c r="J34" s="9"/>
      <c r="K34" s="16"/>
    </row>
    <row r="35" spans="1:11" ht="15.65" x14ac:dyDescent="0.25">
      <c r="A35" s="8"/>
      <c r="B35" s="9"/>
      <c r="C35" s="9"/>
      <c r="D35" s="10"/>
      <c r="E35" s="9"/>
      <c r="F35" s="9"/>
      <c r="G35" s="9"/>
      <c r="H35" s="9"/>
      <c r="I35" s="9"/>
      <c r="J35" s="9"/>
      <c r="K35" s="16"/>
    </row>
    <row r="36" spans="1:11" ht="15.65" x14ac:dyDescent="0.25">
      <c r="A36" s="8"/>
      <c r="B36" s="9"/>
      <c r="C36" s="9"/>
      <c r="D36" s="10"/>
      <c r="E36" s="9"/>
      <c r="F36" s="9"/>
      <c r="G36" s="9"/>
      <c r="H36" s="9"/>
      <c r="I36" s="9"/>
      <c r="J36" s="9"/>
      <c r="K36" s="16"/>
    </row>
    <row r="37" spans="1:11" ht="15.65" x14ac:dyDescent="0.25">
      <c r="A37" s="8"/>
      <c r="B37" s="9"/>
      <c r="C37" s="9"/>
      <c r="D37" s="10"/>
      <c r="E37" s="9"/>
      <c r="F37" s="9"/>
      <c r="G37" s="9"/>
      <c r="H37" s="9"/>
      <c r="I37" s="9"/>
      <c r="J37" s="9"/>
      <c r="K37" s="16"/>
    </row>
    <row r="38" spans="1:11" ht="15.65" x14ac:dyDescent="0.25">
      <c r="A38" s="8"/>
      <c r="B38" s="9"/>
      <c r="C38" s="9"/>
      <c r="D38" s="10"/>
      <c r="E38" s="9"/>
      <c r="F38" s="9"/>
      <c r="G38" s="9"/>
      <c r="H38" s="9"/>
      <c r="I38" s="9"/>
      <c r="J38" s="9"/>
      <c r="K38" s="16"/>
    </row>
    <row r="39" spans="1:11" ht="15.65" x14ac:dyDescent="0.25">
      <c r="A39" s="8"/>
      <c r="B39" s="9"/>
      <c r="C39" s="9"/>
      <c r="D39" s="10"/>
      <c r="E39" s="9"/>
      <c r="F39" s="9"/>
      <c r="G39" s="9"/>
      <c r="H39" s="9"/>
      <c r="I39" s="9"/>
      <c r="J39" s="9"/>
      <c r="K39" s="16"/>
    </row>
    <row r="40" spans="1:11" ht="15.65" x14ac:dyDescent="0.25">
      <c r="A40" s="8"/>
      <c r="B40" s="9"/>
      <c r="C40" s="9"/>
      <c r="D40" s="10"/>
      <c r="E40" s="9"/>
      <c r="F40" s="9"/>
      <c r="G40" s="9"/>
      <c r="H40" s="9"/>
      <c r="I40" s="9"/>
      <c r="J40" s="9"/>
      <c r="K40" s="16"/>
    </row>
    <row r="41" spans="1:11" ht="15.65" x14ac:dyDescent="0.25">
      <c r="A41" s="8"/>
      <c r="B41" s="9"/>
      <c r="C41" s="9"/>
      <c r="D41" s="10"/>
      <c r="E41" s="9"/>
      <c r="F41" s="9"/>
      <c r="G41" s="9"/>
      <c r="H41" s="9"/>
      <c r="I41" s="9"/>
      <c r="J41" s="9"/>
      <c r="K41" s="16"/>
    </row>
    <row r="42" spans="1:11" ht="15.65" x14ac:dyDescent="0.25">
      <c r="A42" s="8"/>
      <c r="B42" s="9"/>
      <c r="C42" s="9"/>
      <c r="D42" s="10"/>
      <c r="E42" s="9"/>
      <c r="F42" s="9"/>
      <c r="G42" s="9"/>
      <c r="H42" s="9"/>
      <c r="I42" s="9"/>
      <c r="J42" s="9"/>
      <c r="K42" s="16"/>
    </row>
    <row r="43" spans="1:11" ht="15.65" x14ac:dyDescent="0.25">
      <c r="A43" s="8"/>
      <c r="B43" s="9"/>
      <c r="C43" s="9"/>
      <c r="D43" s="10"/>
      <c r="E43" s="9"/>
      <c r="F43" s="9"/>
      <c r="G43" s="9"/>
      <c r="H43" s="9"/>
      <c r="I43" s="9"/>
      <c r="J43" s="9"/>
      <c r="K43" s="16"/>
    </row>
    <row r="44" spans="1:11" ht="15.65" x14ac:dyDescent="0.25">
      <c r="A44" s="8"/>
      <c r="B44" s="9"/>
      <c r="C44" s="9"/>
      <c r="D44" s="10"/>
      <c r="E44" s="9"/>
      <c r="F44" s="9"/>
      <c r="G44" s="9"/>
      <c r="H44" s="9"/>
      <c r="I44" s="9"/>
      <c r="J44" s="9"/>
      <c r="K44" s="16"/>
    </row>
    <row r="45" spans="1:11" ht="15.65" x14ac:dyDescent="0.25">
      <c r="A45" s="8"/>
      <c r="B45" s="9"/>
      <c r="C45" s="9"/>
      <c r="D45" s="10"/>
      <c r="E45" s="9"/>
      <c r="F45" s="9"/>
      <c r="G45" s="9"/>
      <c r="H45" s="9"/>
      <c r="I45" s="9"/>
      <c r="J45" s="9"/>
      <c r="K45" s="16"/>
    </row>
    <row r="46" spans="1:11" ht="15.65" x14ac:dyDescent="0.25">
      <c r="A46" s="8"/>
      <c r="B46" s="9"/>
      <c r="C46" s="9"/>
      <c r="D46" s="10"/>
      <c r="E46" s="9"/>
      <c r="F46" s="9"/>
      <c r="G46" s="9"/>
      <c r="H46" s="9"/>
      <c r="I46" s="9"/>
      <c r="J46" s="9"/>
      <c r="K46" s="16"/>
    </row>
    <row r="47" spans="1:11" ht="15.65" x14ac:dyDescent="0.25">
      <c r="A47" s="8"/>
      <c r="B47" s="9"/>
      <c r="C47" s="9"/>
      <c r="D47" s="10"/>
      <c r="E47" s="9"/>
      <c r="F47" s="9"/>
      <c r="G47" s="9"/>
      <c r="H47" s="9"/>
      <c r="I47" s="9"/>
      <c r="J47" s="9"/>
      <c r="K47" s="16"/>
    </row>
    <row r="48" spans="1:11" ht="15.65" x14ac:dyDescent="0.25">
      <c r="A48" s="8"/>
      <c r="B48" s="9"/>
      <c r="C48" s="9"/>
      <c r="D48" s="10"/>
      <c r="E48" s="9"/>
      <c r="F48" s="9"/>
      <c r="G48" s="9"/>
      <c r="H48" s="9"/>
      <c r="I48" s="9"/>
      <c r="J48" s="9"/>
      <c r="K48" s="16"/>
    </row>
    <row r="49" spans="1:11" ht="15.65" x14ac:dyDescent="0.25">
      <c r="A49" s="8"/>
      <c r="B49" s="9"/>
      <c r="C49" s="9"/>
      <c r="D49" s="10"/>
      <c r="E49" s="9"/>
      <c r="F49" s="9"/>
      <c r="G49" s="9"/>
      <c r="H49" s="9"/>
      <c r="I49" s="9"/>
      <c r="J49" s="9"/>
      <c r="K49" s="16"/>
    </row>
    <row r="50" spans="1:11" ht="15.65" x14ac:dyDescent="0.25">
      <c r="A50" s="8"/>
      <c r="B50" s="9"/>
      <c r="C50" s="9"/>
      <c r="D50" s="10"/>
      <c r="E50" s="9"/>
      <c r="F50" s="9"/>
      <c r="G50" s="9"/>
      <c r="H50" s="9"/>
      <c r="I50" s="9"/>
      <c r="J50" s="9"/>
      <c r="K50" s="16"/>
    </row>
    <row r="51" spans="1:11" ht="15.65" x14ac:dyDescent="0.25">
      <c r="A51" s="8"/>
      <c r="B51" s="9"/>
      <c r="C51" s="9"/>
      <c r="D51" s="10"/>
      <c r="E51" s="9"/>
      <c r="F51" s="9"/>
      <c r="G51" s="9"/>
      <c r="H51" s="9"/>
      <c r="I51" s="9"/>
      <c r="J51" s="9"/>
      <c r="K51" s="16"/>
    </row>
    <row r="52" spans="1:11" ht="15.65" x14ac:dyDescent="0.25">
      <c r="A52" s="8"/>
      <c r="B52" s="9"/>
      <c r="C52" s="9"/>
      <c r="D52" s="10"/>
      <c r="E52" s="9"/>
      <c r="F52" s="9"/>
      <c r="G52" s="9"/>
      <c r="H52" s="9"/>
      <c r="I52" s="9"/>
      <c r="J52" s="9"/>
      <c r="K52" s="16"/>
    </row>
    <row r="53" spans="1:11" ht="15.65" x14ac:dyDescent="0.25">
      <c r="A53" s="8"/>
      <c r="B53" s="9"/>
      <c r="C53" s="9"/>
      <c r="D53" s="10"/>
      <c r="E53" s="9"/>
      <c r="F53" s="9"/>
      <c r="G53" s="9"/>
      <c r="H53" s="9"/>
      <c r="I53" s="9"/>
      <c r="J53" s="9"/>
      <c r="K53" s="16"/>
    </row>
    <row r="54" spans="1:11" ht="15.65" x14ac:dyDescent="0.25">
      <c r="A54" s="8"/>
      <c r="B54" s="9"/>
      <c r="C54" s="9"/>
      <c r="D54" s="10"/>
      <c r="E54" s="9"/>
      <c r="F54" s="9"/>
      <c r="G54" s="9"/>
      <c r="H54" s="9"/>
      <c r="I54" s="9"/>
      <c r="J54" s="9"/>
      <c r="K54" s="16"/>
    </row>
    <row r="55" spans="1:11" ht="15.65" x14ac:dyDescent="0.25">
      <c r="A55" s="8"/>
      <c r="B55" s="9"/>
      <c r="C55" s="9"/>
      <c r="D55" s="10"/>
      <c r="E55" s="9"/>
      <c r="F55" s="9"/>
      <c r="G55" s="9"/>
      <c r="H55" s="9"/>
      <c r="I55" s="9"/>
      <c r="J55" s="9"/>
      <c r="K55" s="16"/>
    </row>
    <row r="56" spans="1:11" ht="15.65" x14ac:dyDescent="0.25">
      <c r="A56" s="8"/>
      <c r="B56" s="9"/>
      <c r="C56" s="9"/>
      <c r="D56" s="10"/>
      <c r="E56" s="9"/>
      <c r="F56" s="9"/>
      <c r="G56" s="9"/>
      <c r="H56" s="9"/>
      <c r="I56" s="9"/>
      <c r="J56" s="9"/>
      <c r="K56" s="16"/>
    </row>
    <row r="57" spans="1:11" ht="15.65" x14ac:dyDescent="0.25">
      <c r="A57" s="8"/>
      <c r="B57" s="9"/>
      <c r="C57" s="9"/>
      <c r="D57" s="10"/>
      <c r="E57" s="9"/>
      <c r="F57" s="9"/>
      <c r="G57" s="9"/>
      <c r="H57" s="9"/>
      <c r="I57" s="9"/>
      <c r="J57" s="9"/>
      <c r="K57" s="16"/>
    </row>
    <row r="58" spans="1:11" ht="15.65" x14ac:dyDescent="0.25">
      <c r="A58" s="8"/>
      <c r="B58" s="9"/>
      <c r="C58" s="9"/>
      <c r="D58" s="10"/>
      <c r="E58" s="9"/>
      <c r="F58" s="9"/>
      <c r="G58" s="9"/>
      <c r="H58" s="9"/>
      <c r="I58" s="9"/>
      <c r="J58" s="9"/>
      <c r="K58" s="16"/>
    </row>
    <row r="59" spans="1:11" ht="15.65" x14ac:dyDescent="0.25">
      <c r="A59" s="8"/>
      <c r="B59" s="9"/>
      <c r="C59" s="9"/>
      <c r="D59" s="10"/>
      <c r="E59" s="9"/>
      <c r="F59" s="9"/>
      <c r="G59" s="9"/>
      <c r="H59" s="9"/>
      <c r="I59" s="9"/>
      <c r="J59" s="9"/>
      <c r="K59" s="16"/>
    </row>
    <row r="60" spans="1:11" ht="15.65" x14ac:dyDescent="0.25">
      <c r="A60" s="8"/>
      <c r="B60" s="9"/>
      <c r="C60" s="9"/>
      <c r="D60" s="10"/>
      <c r="E60" s="9"/>
      <c r="F60" s="9"/>
      <c r="G60" s="9"/>
      <c r="H60" s="9"/>
      <c r="I60" s="9"/>
      <c r="J60" s="9"/>
      <c r="K60" s="16"/>
    </row>
    <row r="61" spans="1:11" ht="15.65" x14ac:dyDescent="0.25">
      <c r="A61" s="8"/>
      <c r="B61" s="9"/>
      <c r="C61" s="9"/>
      <c r="D61" s="10"/>
      <c r="E61" s="9"/>
      <c r="F61" s="9"/>
      <c r="G61" s="9"/>
      <c r="H61" s="9"/>
      <c r="I61" s="9"/>
      <c r="J61" s="9"/>
      <c r="K61" s="16"/>
    </row>
    <row r="62" spans="1:11" ht="15.65" x14ac:dyDescent="0.25">
      <c r="A62" s="8"/>
      <c r="B62" s="9"/>
      <c r="C62" s="9"/>
      <c r="D62" s="10"/>
      <c r="E62" s="9"/>
      <c r="F62" s="9"/>
      <c r="G62" s="9"/>
      <c r="H62" s="9"/>
      <c r="I62" s="9"/>
      <c r="J62" s="9"/>
      <c r="K62" s="16"/>
    </row>
    <row r="63" spans="1:11" ht="15.65" x14ac:dyDescent="0.25">
      <c r="A63" s="8"/>
      <c r="B63" s="9"/>
      <c r="C63" s="9"/>
      <c r="D63" s="10"/>
      <c r="E63" s="9"/>
      <c r="F63" s="9"/>
      <c r="G63" s="9"/>
      <c r="H63" s="9"/>
      <c r="I63" s="9"/>
      <c r="J63" s="9"/>
      <c r="K63" s="16"/>
    </row>
    <row r="64" spans="1:11" ht="15.65" x14ac:dyDescent="0.25">
      <c r="A64" s="8"/>
      <c r="B64" s="9"/>
      <c r="C64" s="9"/>
      <c r="D64" s="10"/>
      <c r="E64" s="9"/>
      <c r="F64" s="9"/>
      <c r="G64" s="9"/>
      <c r="H64" s="9"/>
      <c r="I64" s="9"/>
      <c r="J64" s="9"/>
      <c r="K64" s="16"/>
    </row>
    <row r="65" spans="1:11" ht="15.65" x14ac:dyDescent="0.25">
      <c r="A65" s="8"/>
      <c r="B65" s="9"/>
      <c r="C65" s="9"/>
      <c r="D65" s="10"/>
      <c r="E65" s="9"/>
      <c r="F65" s="9"/>
      <c r="G65" s="9"/>
      <c r="H65" s="9"/>
      <c r="I65" s="9"/>
      <c r="J65" s="9"/>
      <c r="K65" s="16"/>
    </row>
  </sheetData>
  <mergeCells count="4">
    <mergeCell ref="A1:K1"/>
    <mergeCell ref="A6:K6"/>
    <mergeCell ref="A11:K11"/>
    <mergeCell ref="A15:K15"/>
  </mergeCells>
  <conditionalFormatting sqref="L8">
    <cfRule type="colorScale" priority="3">
      <colorScale>
        <cfvo type="min"/>
        <cfvo type="max"/>
        <color rgb="FFFCFCFF"/>
        <color rgb="FFF8696B"/>
      </colorScale>
    </cfRule>
  </conditionalFormatting>
  <conditionalFormatting sqref="L13">
    <cfRule type="colorScale" priority="6">
      <colorScale>
        <cfvo type="min"/>
        <cfvo type="max"/>
        <color rgb="FFFCFCFF"/>
        <color rgb="FFF8696B"/>
      </colorScale>
    </cfRule>
  </conditionalFormatting>
  <conditionalFormatting sqref="L17:L20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topLeftCell="A4" workbookViewId="0">
      <selection activeCell="A14" sqref="A14:K14"/>
    </sheetView>
  </sheetViews>
  <sheetFormatPr baseColWidth="10" defaultRowHeight="12.9" x14ac:dyDescent="0.2"/>
  <cols>
    <col min="1" max="1" width="27.375" customWidth="1"/>
    <col min="2" max="2" width="22.25" style="6" bestFit="1" customWidth="1"/>
    <col min="3" max="3" width="22.25" bestFit="1" customWidth="1"/>
    <col min="4" max="4" width="22.25" customWidth="1"/>
    <col min="5" max="5" width="16" customWidth="1"/>
    <col min="6" max="6" width="16.875" bestFit="1" customWidth="1"/>
    <col min="7" max="10" width="13.625" customWidth="1"/>
    <col min="11" max="11" width="16.375" bestFit="1" customWidth="1"/>
    <col min="12" max="12" width="9" bestFit="1" customWidth="1"/>
  </cols>
  <sheetData>
    <row r="1" spans="1:12" ht="26.35" customHeight="1" x14ac:dyDescent="0.35">
      <c r="A1" s="38" t="s">
        <v>141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26"/>
    </row>
    <row r="2" spans="1:12" ht="12.75" customHeight="1" x14ac:dyDescent="0.2">
      <c r="D2" s="2"/>
      <c r="E2" s="2"/>
      <c r="F2" s="2"/>
      <c r="G2" s="2"/>
      <c r="H2" s="2"/>
      <c r="I2" s="2"/>
      <c r="J2" s="2"/>
      <c r="K2" s="2"/>
    </row>
    <row r="3" spans="1:12" ht="49.6" thickBot="1" x14ac:dyDescent="0.35">
      <c r="A3" s="14" t="s">
        <v>12</v>
      </c>
    </row>
    <row r="4" spans="1:12" ht="13.6" thickTop="1" x14ac:dyDescent="0.2">
      <c r="B4"/>
      <c r="C4" s="1"/>
      <c r="D4" s="3"/>
    </row>
    <row r="5" spans="1:12" x14ac:dyDescent="0.2">
      <c r="C5" s="1"/>
    </row>
    <row r="6" spans="1:12" ht="24.45" thickBot="1" x14ac:dyDescent="0.45">
      <c r="A6" s="37" t="s">
        <v>5</v>
      </c>
      <c r="B6" s="37"/>
      <c r="C6" s="37"/>
      <c r="D6" s="37"/>
      <c r="E6" s="37"/>
      <c r="F6" s="37"/>
      <c r="G6" s="37"/>
      <c r="H6" s="37"/>
      <c r="I6" s="37"/>
      <c r="J6" s="37"/>
      <c r="K6" s="37"/>
    </row>
    <row r="7" spans="1:12" ht="69.8" customHeight="1" thickTop="1" x14ac:dyDescent="0.2">
      <c r="A7" t="s">
        <v>2</v>
      </c>
      <c r="B7" s="21" t="s">
        <v>0</v>
      </c>
      <c r="C7" s="22" t="s">
        <v>1</v>
      </c>
      <c r="D7" s="23" t="s">
        <v>3</v>
      </c>
      <c r="E7" s="23" t="s">
        <v>6</v>
      </c>
      <c r="F7" s="23" t="s">
        <v>9</v>
      </c>
      <c r="G7" s="23" t="s">
        <v>7</v>
      </c>
      <c r="H7" s="23" t="s">
        <v>8</v>
      </c>
      <c r="I7" s="23" t="s">
        <v>4</v>
      </c>
      <c r="J7" s="23" t="s">
        <v>11</v>
      </c>
      <c r="K7" s="2" t="s">
        <v>10</v>
      </c>
      <c r="L7" t="s">
        <v>15</v>
      </c>
    </row>
    <row r="8" spans="1:12" ht="15.65" x14ac:dyDescent="0.25">
      <c r="A8" s="8"/>
      <c r="B8" s="9"/>
      <c r="C8" s="9"/>
      <c r="D8" s="10"/>
      <c r="E8" s="9"/>
      <c r="F8" s="9"/>
      <c r="G8" s="9"/>
      <c r="H8" s="9"/>
      <c r="I8" s="9"/>
      <c r="J8" s="9"/>
      <c r="K8" s="16" t="e">
        <f>(D8+C8+B8)/I8</f>
        <v>#DIV/0!</v>
      </c>
      <c r="L8" s="29" t="e">
        <f>(I8+J8)*K8</f>
        <v>#DIV/0!</v>
      </c>
    </row>
    <row r="9" spans="1:12" ht="15.65" x14ac:dyDescent="0.25">
      <c r="A9" s="8"/>
      <c r="B9" s="9">
        <f>(SUM(Tableau32832[Nombre de ligne du 
schéma A absente du B]))+1</f>
        <v>1</v>
      </c>
      <c r="C9" s="9">
        <f>(SUM(Tableau32832[Nombre de ligne du 
schéma B absente du A]))+2</f>
        <v>2</v>
      </c>
      <c r="D9" s="9">
        <f>SUM(Tableau32832[Nombre de lignes présentent 
dans les deux schémas 
mais ayant un contenu différent ])</f>
        <v>0</v>
      </c>
      <c r="E9" s="9"/>
      <c r="F9" s="9"/>
      <c r="G9" s="12"/>
      <c r="H9" s="12"/>
      <c r="I9" s="12"/>
      <c r="J9" s="12"/>
      <c r="K9" s="15"/>
    </row>
    <row r="10" spans="1:12" ht="24.45" thickBot="1" x14ac:dyDescent="0.45">
      <c r="A10" s="37" t="s">
        <v>13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</row>
    <row r="11" spans="1:12" ht="65.25" thickTop="1" x14ac:dyDescent="0.2">
      <c r="A11" t="s">
        <v>2</v>
      </c>
      <c r="B11" s="7" t="s">
        <v>0</v>
      </c>
      <c r="C11" s="5" t="s">
        <v>1</v>
      </c>
      <c r="D11" s="4" t="s">
        <v>3</v>
      </c>
      <c r="E11" s="2" t="s">
        <v>6</v>
      </c>
      <c r="F11" s="2" t="s">
        <v>9</v>
      </c>
      <c r="G11" s="2" t="s">
        <v>7</v>
      </c>
      <c r="H11" s="2" t="s">
        <v>8</v>
      </c>
      <c r="I11" s="2" t="s">
        <v>4</v>
      </c>
      <c r="J11" s="2" t="s">
        <v>11</v>
      </c>
      <c r="K11" s="2" t="s">
        <v>10</v>
      </c>
      <c r="L11" t="s">
        <v>15</v>
      </c>
    </row>
    <row r="12" spans="1:12" ht="15.65" x14ac:dyDescent="0.25">
      <c r="A12" s="8"/>
      <c r="B12" s="9"/>
      <c r="C12" s="9"/>
      <c r="D12" s="10"/>
      <c r="E12" s="9"/>
      <c r="F12" s="9"/>
      <c r="G12" s="9"/>
      <c r="H12" s="9"/>
      <c r="I12" s="9"/>
      <c r="J12" s="9"/>
      <c r="K12" s="30" t="e">
        <f>(D12+C12+B12)/I12</f>
        <v>#DIV/0!</v>
      </c>
      <c r="L12" s="29" t="e">
        <f>(I12+J12)*K12</f>
        <v>#DIV/0!</v>
      </c>
    </row>
    <row r="13" spans="1:12" ht="15.65" x14ac:dyDescent="0.25">
      <c r="B13" s="9">
        <f>SUM(Tableau31416184072933[Nombre de ligne du 
schéma A absente du B])+6</f>
        <v>6</v>
      </c>
      <c r="C13" s="9">
        <f>SUM(Tableau31416184072933[Nombre de ligne du 
schéma B absente du A])+7</f>
        <v>7</v>
      </c>
      <c r="D13" s="9">
        <f>SUM(Tableau31416184072933[Nombre de lignes présentent 
dans les deux schémas 
mais ayant un contenu différent ])+8</f>
        <v>8</v>
      </c>
    </row>
    <row r="14" spans="1:12" ht="24.45" thickBot="1" x14ac:dyDescent="0.45">
      <c r="A14" s="37" t="s">
        <v>14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</row>
    <row r="15" spans="1:12" ht="65.25" thickTop="1" x14ac:dyDescent="0.2">
      <c r="A15" t="s">
        <v>2</v>
      </c>
      <c r="B15" s="21" t="s">
        <v>0</v>
      </c>
      <c r="C15" s="22" t="s">
        <v>1</v>
      </c>
      <c r="D15" s="23" t="s">
        <v>3</v>
      </c>
      <c r="E15" s="23" t="s">
        <v>6</v>
      </c>
      <c r="F15" s="23" t="s">
        <v>9</v>
      </c>
      <c r="G15" s="23" t="s">
        <v>7</v>
      </c>
      <c r="H15" s="23" t="s">
        <v>8</v>
      </c>
      <c r="I15" s="23" t="s">
        <v>4</v>
      </c>
      <c r="J15" s="23" t="s">
        <v>11</v>
      </c>
      <c r="K15" s="2" t="s">
        <v>10</v>
      </c>
      <c r="L15" t="s">
        <v>15</v>
      </c>
    </row>
    <row r="16" spans="1:12" ht="15.65" x14ac:dyDescent="0.25">
      <c r="A16" s="8" t="s">
        <v>41</v>
      </c>
      <c r="B16" s="9">
        <v>25</v>
      </c>
      <c r="C16" s="9">
        <v>35</v>
      </c>
      <c r="D16" s="10">
        <v>39084</v>
      </c>
      <c r="E16" s="9">
        <v>25</v>
      </c>
      <c r="F16" s="9">
        <v>35</v>
      </c>
      <c r="G16" s="12">
        <v>39066</v>
      </c>
      <c r="H16" s="12">
        <v>39126</v>
      </c>
      <c r="I16" s="12">
        <v>39109</v>
      </c>
      <c r="J16" s="12">
        <v>39119</v>
      </c>
      <c r="K16" s="16">
        <f>(D16+C16+B16)/I16</f>
        <v>1.0008949346697691</v>
      </c>
      <c r="L16" s="29">
        <f>(I16+J16)*K16</f>
        <v>78298.008949346695</v>
      </c>
    </row>
    <row r="17" spans="1:12" ht="15.65" x14ac:dyDescent="0.25">
      <c r="A17" s="8" t="s">
        <v>42</v>
      </c>
      <c r="B17" s="9">
        <v>54452</v>
      </c>
      <c r="C17" s="9">
        <v>54422</v>
      </c>
      <c r="D17" s="10">
        <v>0</v>
      </c>
      <c r="E17" s="9">
        <v>39091</v>
      </c>
      <c r="F17" s="9">
        <v>39092</v>
      </c>
      <c r="G17" s="9">
        <v>0</v>
      </c>
      <c r="H17" s="9">
        <v>39126</v>
      </c>
      <c r="I17" s="9">
        <v>3005924</v>
      </c>
      <c r="J17" s="9">
        <v>3005894</v>
      </c>
      <c r="K17" s="16">
        <f>(D17+C17+B17)/I17</f>
        <v>3.6219811279327087E-2</v>
      </c>
      <c r="L17" s="29">
        <f>(I17+J17)*K17</f>
        <v>217746.91340566162</v>
      </c>
    </row>
    <row r="18" spans="1:12" ht="15.65" x14ac:dyDescent="0.25">
      <c r="A18" s="8" t="s">
        <v>45</v>
      </c>
      <c r="B18" s="9">
        <v>33</v>
      </c>
      <c r="C18" s="9">
        <v>473</v>
      </c>
      <c r="D18" s="10">
        <v>7</v>
      </c>
      <c r="E18" s="9">
        <v>31</v>
      </c>
      <c r="F18" s="9">
        <v>471</v>
      </c>
      <c r="G18" s="9">
        <v>7</v>
      </c>
      <c r="H18" s="9">
        <v>509</v>
      </c>
      <c r="I18" s="9">
        <v>14928</v>
      </c>
      <c r="J18" s="9">
        <v>15368</v>
      </c>
      <c r="K18" s="16">
        <f>(D18+C18+B18)/I18</f>
        <v>3.4364951768488743E-2</v>
      </c>
      <c r="L18" s="29">
        <f>(I18+J18)*K18</f>
        <v>1041.120578778135</v>
      </c>
    </row>
    <row r="19" spans="1:12" ht="15.65" x14ac:dyDescent="0.25">
      <c r="A19" s="8"/>
      <c r="B19" s="9"/>
      <c r="C19" s="9"/>
      <c r="D19" s="10"/>
      <c r="E19" s="9"/>
      <c r="F19" s="9"/>
      <c r="G19" s="9"/>
      <c r="H19" s="9"/>
      <c r="I19" s="9"/>
      <c r="J19" s="9"/>
      <c r="K19" s="16" t="e">
        <f>(D19+C19+B19)/I19</f>
        <v>#DIV/0!</v>
      </c>
      <c r="L19" s="29" t="e">
        <f>(I19+J19)*K19</f>
        <v>#DIV/0!</v>
      </c>
    </row>
    <row r="20" spans="1:12" ht="15.65" x14ac:dyDescent="0.25">
      <c r="B20" s="9">
        <f>SUM(Tableau3263034[Nombre de ligne du 
schéma A absente du B])</f>
        <v>54510</v>
      </c>
      <c r="C20" s="9">
        <f>SUM(Tableau3263034[Nombre de ligne du 
schéma B absente du A])</f>
        <v>54930</v>
      </c>
      <c r="D20" s="9">
        <f>SUM(Tableau3263034[Nombre de lignes présentent 
dans les deux schémas 
mais ayant un contenu différent ])</f>
        <v>39091</v>
      </c>
    </row>
  </sheetData>
  <mergeCells count="4">
    <mergeCell ref="A1:K1"/>
    <mergeCell ref="A6:K6"/>
    <mergeCell ref="A10:K10"/>
    <mergeCell ref="A14:K14"/>
  </mergeCells>
  <conditionalFormatting sqref="L16:L19">
    <cfRule type="colorScale" priority="1">
      <colorScale>
        <cfvo type="min"/>
        <cfvo type="max"/>
        <color rgb="FFFCFCFF"/>
        <color rgb="FFF8696B"/>
      </colorScale>
    </cfRule>
  </conditionalFormatting>
  <conditionalFormatting sqref="L8">
    <cfRule type="colorScale" priority="9">
      <colorScale>
        <cfvo type="min"/>
        <cfvo type="max"/>
        <color rgb="FFFCFCFF"/>
        <color rgb="FFF8696B"/>
      </colorScale>
    </cfRule>
  </conditionalFormatting>
  <conditionalFormatting sqref="L12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8"/>
  <sheetViews>
    <sheetView topLeftCell="A40" workbookViewId="0">
      <selection activeCell="G59" sqref="G59"/>
    </sheetView>
  </sheetViews>
  <sheetFormatPr baseColWidth="10" defaultRowHeight="12.9" x14ac:dyDescent="0.2"/>
  <cols>
    <col min="1" max="1" width="27.375" customWidth="1"/>
    <col min="2" max="2" width="22.25" style="6" bestFit="1" customWidth="1"/>
    <col min="3" max="3" width="22.25" bestFit="1" customWidth="1"/>
    <col min="4" max="4" width="22.25" customWidth="1"/>
    <col min="5" max="5" width="16" customWidth="1"/>
    <col min="6" max="6" width="16.875" bestFit="1" customWidth="1"/>
    <col min="7" max="10" width="13.625" customWidth="1"/>
    <col min="11" max="11" width="16.375" bestFit="1" customWidth="1"/>
    <col min="12" max="12" width="15.375" bestFit="1" customWidth="1"/>
    <col min="15" max="15" width="13" bestFit="1" customWidth="1"/>
  </cols>
  <sheetData>
    <row r="1" spans="1:12" ht="26.35" customHeight="1" x14ac:dyDescent="0.35">
      <c r="A1" s="38" t="s">
        <v>141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26"/>
    </row>
    <row r="2" spans="1:12" ht="12.75" customHeight="1" x14ac:dyDescent="0.2">
      <c r="D2" s="2"/>
      <c r="E2" s="2"/>
      <c r="F2" s="2"/>
      <c r="G2" s="2"/>
      <c r="H2" s="2"/>
      <c r="I2" s="2"/>
      <c r="J2" s="2"/>
      <c r="K2" s="2"/>
    </row>
    <row r="3" spans="1:12" ht="49.6" thickBot="1" x14ac:dyDescent="0.35">
      <c r="A3" s="14" t="s">
        <v>12</v>
      </c>
    </row>
    <row r="4" spans="1:12" ht="13.6" thickTop="1" x14ac:dyDescent="0.2">
      <c r="A4" t="s">
        <v>131</v>
      </c>
      <c r="B4"/>
      <c r="D4" s="3"/>
    </row>
    <row r="5" spans="1:12" x14ac:dyDescent="0.2">
      <c r="A5" t="s">
        <v>132</v>
      </c>
      <c r="B5"/>
      <c r="D5" s="3"/>
    </row>
    <row r="6" spans="1:12" x14ac:dyDescent="0.2">
      <c r="A6" t="s">
        <v>133</v>
      </c>
      <c r="B6"/>
      <c r="C6" s="1"/>
      <c r="D6" s="3"/>
    </row>
    <row r="7" spans="1:12" x14ac:dyDescent="0.2">
      <c r="A7" t="s">
        <v>134</v>
      </c>
      <c r="B7"/>
      <c r="C7" s="1"/>
      <c r="D7" s="3"/>
    </row>
    <row r="8" spans="1:12" x14ac:dyDescent="0.2">
      <c r="C8" s="1"/>
    </row>
    <row r="9" spans="1:12" ht="24.45" thickBot="1" x14ac:dyDescent="0.45">
      <c r="A9" s="37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</row>
    <row r="10" spans="1:12" ht="69.8" customHeight="1" thickTop="1" x14ac:dyDescent="0.2">
      <c r="A10" t="s">
        <v>2</v>
      </c>
      <c r="B10" s="21" t="s">
        <v>0</v>
      </c>
      <c r="C10" s="22" t="s">
        <v>1</v>
      </c>
      <c r="D10" s="23" t="s">
        <v>3</v>
      </c>
      <c r="E10" s="23" t="s">
        <v>6</v>
      </c>
      <c r="F10" s="23" t="s">
        <v>9</v>
      </c>
      <c r="G10" s="23" t="s">
        <v>7</v>
      </c>
      <c r="H10" s="23" t="s">
        <v>8</v>
      </c>
      <c r="I10" s="23" t="s">
        <v>4</v>
      </c>
      <c r="J10" s="23" t="s">
        <v>11</v>
      </c>
      <c r="K10" s="2" t="s">
        <v>10</v>
      </c>
      <c r="L10" t="s">
        <v>15</v>
      </c>
    </row>
    <row r="11" spans="1:12" ht="15.65" x14ac:dyDescent="0.25">
      <c r="A11" s="8"/>
      <c r="B11" s="9"/>
      <c r="C11" s="9"/>
      <c r="D11" s="10"/>
      <c r="E11" s="9"/>
      <c r="F11" s="9"/>
      <c r="G11" s="9"/>
      <c r="H11" s="9"/>
      <c r="I11" s="9"/>
      <c r="J11" s="9"/>
      <c r="K11" s="16" t="e">
        <f>(D11+C11+B11)/I11</f>
        <v>#DIV/0!</v>
      </c>
      <c r="L11" s="28" t="e">
        <f>(I11+J11)*K11</f>
        <v>#DIV/0!</v>
      </c>
    </row>
    <row r="12" spans="1:12" ht="15.65" x14ac:dyDescent="0.25">
      <c r="A12" s="24"/>
      <c r="B12" s="25">
        <f>SUM(Tableau3283236[Nombre de ligne du 
schéma A absente du B])</f>
        <v>0</v>
      </c>
      <c r="C12" s="25">
        <f>SUM(Tableau3283236[Nombre de ligne du 
schéma B absente du A])</f>
        <v>0</v>
      </c>
      <c r="D12" s="25">
        <f>SUM(Tableau3283236[Nombre de lignes présentent 
dans les deux schémas 
mais ayant un contenu différent ])</f>
        <v>0</v>
      </c>
      <c r="E12" s="25"/>
      <c r="F12" s="25"/>
      <c r="G12" s="25"/>
      <c r="H12" s="25"/>
      <c r="I12" s="25"/>
      <c r="J12" s="25"/>
      <c r="K12" s="27"/>
    </row>
    <row r="13" spans="1:12" ht="24.45" thickBot="1" x14ac:dyDescent="0.45">
      <c r="A13" s="37" t="s">
        <v>13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4" spans="1:12" ht="65.25" thickTop="1" x14ac:dyDescent="0.2">
      <c r="A14" t="s">
        <v>2</v>
      </c>
      <c r="B14" s="7" t="s">
        <v>0</v>
      </c>
      <c r="C14" s="5" t="s">
        <v>1</v>
      </c>
      <c r="D14" s="4" t="s">
        <v>3</v>
      </c>
      <c r="E14" s="2" t="s">
        <v>6</v>
      </c>
      <c r="F14" s="2" t="s">
        <v>9</v>
      </c>
      <c r="G14" s="2" t="s">
        <v>7</v>
      </c>
      <c r="H14" s="2" t="s">
        <v>8</v>
      </c>
      <c r="I14" s="2" t="s">
        <v>4</v>
      </c>
      <c r="J14" s="2" t="s">
        <v>11</v>
      </c>
      <c r="K14" s="2" t="s">
        <v>10</v>
      </c>
      <c r="L14" t="s">
        <v>15</v>
      </c>
    </row>
    <row r="15" spans="1:12" ht="15.65" x14ac:dyDescent="0.25">
      <c r="A15" s="17"/>
      <c r="B15" s="18"/>
      <c r="C15" s="18"/>
      <c r="D15" s="19"/>
      <c r="E15" s="18"/>
      <c r="F15" s="18"/>
      <c r="G15" s="18"/>
      <c r="H15" s="18"/>
      <c r="I15" s="18"/>
      <c r="J15" s="18"/>
      <c r="K15" s="15" t="e">
        <f>(D15+C15+B15)/I15</f>
        <v>#DIV/0!</v>
      </c>
      <c r="L15" s="29" t="e">
        <f>(I15+J15)*K15</f>
        <v>#DIV/0!</v>
      </c>
    </row>
    <row r="16" spans="1:12" ht="15.65" x14ac:dyDescent="0.25">
      <c r="A16" s="11"/>
      <c r="B16" s="12"/>
      <c r="C16" s="12"/>
      <c r="D16" s="13"/>
      <c r="E16" s="12"/>
      <c r="F16" s="9"/>
      <c r="G16" s="12"/>
      <c r="H16" s="12"/>
      <c r="I16" s="12"/>
      <c r="J16" s="12"/>
      <c r="K16" s="15"/>
    </row>
    <row r="17" spans="1:12" ht="15.65" x14ac:dyDescent="0.25">
      <c r="B17" s="25">
        <f>SUM(Tableau3141618407293337[Nombre de ligne du 
schéma A absente du B])</f>
        <v>0</v>
      </c>
      <c r="C17" s="25">
        <f>SUM(Tableau3141618407293337[Nombre de ligne du 
schéma B absente du A])</f>
        <v>0</v>
      </c>
      <c r="D17" s="25">
        <f>SUM(Tableau3141618407293337[Nombre de lignes présentent 
dans les deux schémas 
mais ayant un contenu différent ])</f>
        <v>0</v>
      </c>
    </row>
    <row r="18" spans="1:12" ht="24.45" thickBot="1" x14ac:dyDescent="0.45">
      <c r="A18" s="37" t="s">
        <v>14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</row>
    <row r="19" spans="1:12" ht="65.25" thickTop="1" x14ac:dyDescent="0.2">
      <c r="A19" t="s">
        <v>2</v>
      </c>
      <c r="B19" s="21" t="s">
        <v>0</v>
      </c>
      <c r="C19" s="22" t="s">
        <v>1</v>
      </c>
      <c r="D19" s="23" t="s">
        <v>3</v>
      </c>
      <c r="E19" s="23" t="s">
        <v>6</v>
      </c>
      <c r="F19" s="23" t="s">
        <v>9</v>
      </c>
      <c r="G19" s="23" t="s">
        <v>7</v>
      </c>
      <c r="H19" s="23" t="s">
        <v>8</v>
      </c>
      <c r="I19" s="23" t="s">
        <v>4</v>
      </c>
      <c r="J19" s="23" t="s">
        <v>11</v>
      </c>
      <c r="K19" s="2" t="s">
        <v>10</v>
      </c>
      <c r="L19" t="s">
        <v>15</v>
      </c>
    </row>
    <row r="20" spans="1:12" ht="15.65" x14ac:dyDescent="0.25">
      <c r="A20" s="8" t="s">
        <v>75</v>
      </c>
      <c r="B20" s="9">
        <v>1001</v>
      </c>
      <c r="C20" s="9">
        <v>65</v>
      </c>
      <c r="D20" s="10">
        <v>408</v>
      </c>
      <c r="E20" s="9">
        <v>193</v>
      </c>
      <c r="F20" s="9">
        <v>32</v>
      </c>
      <c r="G20" s="9">
        <v>119</v>
      </c>
      <c r="H20" s="9">
        <v>200</v>
      </c>
      <c r="I20" s="9">
        <v>162724</v>
      </c>
      <c r="J20" s="9">
        <v>161788</v>
      </c>
      <c r="K20" s="16">
        <f t="shared" ref="K20:K45" si="0">(D20+C20+B20)/I20</f>
        <v>9.0582827364125759E-3</v>
      </c>
      <c r="L20" s="29">
        <f t="shared" ref="L20:L45" si="1">(I20+J20)*K20</f>
        <v>2939.521447358718</v>
      </c>
    </row>
    <row r="21" spans="1:12" ht="15.65" x14ac:dyDescent="0.25">
      <c r="A21" s="17" t="s">
        <v>76</v>
      </c>
      <c r="B21" s="18">
        <v>800</v>
      </c>
      <c r="C21" s="18">
        <v>436</v>
      </c>
      <c r="D21" s="19">
        <v>537</v>
      </c>
      <c r="E21" s="18">
        <v>294</v>
      </c>
      <c r="F21" s="18">
        <v>228</v>
      </c>
      <c r="G21" s="18">
        <v>422</v>
      </c>
      <c r="H21" s="18">
        <v>768</v>
      </c>
      <c r="I21" s="18">
        <v>160369</v>
      </c>
      <c r="J21" s="18">
        <v>160005</v>
      </c>
      <c r="K21" s="20">
        <f t="shared" si="0"/>
        <v>1.105575267040388E-2</v>
      </c>
      <c r="L21" s="29">
        <f t="shared" si="1"/>
        <v>3541.9757060279726</v>
      </c>
    </row>
    <row r="22" spans="1:12" ht="15.65" x14ac:dyDescent="0.25">
      <c r="A22" s="17" t="s">
        <v>77</v>
      </c>
      <c r="B22" s="18">
        <v>1404</v>
      </c>
      <c r="C22" s="18">
        <v>1389</v>
      </c>
      <c r="D22" s="19">
        <v>10</v>
      </c>
      <c r="E22" s="18">
        <v>103</v>
      </c>
      <c r="F22" s="18">
        <v>102</v>
      </c>
      <c r="G22" s="18">
        <v>10</v>
      </c>
      <c r="H22" s="18">
        <v>103</v>
      </c>
      <c r="I22" s="18">
        <v>8963</v>
      </c>
      <c r="J22" s="18">
        <v>8948</v>
      </c>
      <c r="K22" s="20">
        <f t="shared" si="0"/>
        <v>0.31273011268548478</v>
      </c>
      <c r="L22" s="29">
        <f t="shared" si="1"/>
        <v>5601.3090483097176</v>
      </c>
    </row>
    <row r="23" spans="1:12" ht="15.65" x14ac:dyDescent="0.25">
      <c r="A23" s="8" t="s">
        <v>78</v>
      </c>
      <c r="B23" s="9">
        <v>4051</v>
      </c>
      <c r="C23" s="9">
        <v>4171</v>
      </c>
      <c r="D23" s="10">
        <v>58578</v>
      </c>
      <c r="E23" s="9">
        <v>341</v>
      </c>
      <c r="F23" s="9">
        <v>337</v>
      </c>
      <c r="G23" s="9">
        <v>9192</v>
      </c>
      <c r="H23" s="9">
        <v>9401</v>
      </c>
      <c r="I23" s="9">
        <v>2799016</v>
      </c>
      <c r="J23" s="9">
        <v>2799136</v>
      </c>
      <c r="K23" s="16">
        <f t="shared" si="0"/>
        <v>2.3865529886217155E-2</v>
      </c>
      <c r="L23" s="29">
        <f t="shared" si="1"/>
        <v>133602.86386358633</v>
      </c>
    </row>
    <row r="24" spans="1:12" ht="15.65" x14ac:dyDescent="0.25">
      <c r="A24" s="17" t="s">
        <v>142</v>
      </c>
      <c r="B24" s="18">
        <v>62</v>
      </c>
      <c r="C24" s="18">
        <v>62</v>
      </c>
      <c r="D24" s="19">
        <v>0</v>
      </c>
      <c r="E24" s="18">
        <v>6</v>
      </c>
      <c r="F24" s="18">
        <v>6</v>
      </c>
      <c r="G24" s="18">
        <v>0</v>
      </c>
      <c r="H24" s="18">
        <v>12</v>
      </c>
      <c r="I24" s="18">
        <v>159686</v>
      </c>
      <c r="J24" s="18">
        <v>159686</v>
      </c>
      <c r="K24" s="20">
        <f t="shared" si="0"/>
        <v>7.7652392820911037E-4</v>
      </c>
      <c r="L24" s="29">
        <f t="shared" si="1"/>
        <v>248</v>
      </c>
    </row>
    <row r="25" spans="1:12" ht="15.65" x14ac:dyDescent="0.25">
      <c r="A25" s="17" t="s">
        <v>143</v>
      </c>
      <c r="B25" s="18">
        <v>1859</v>
      </c>
      <c r="C25" s="18">
        <v>1859</v>
      </c>
      <c r="D25" s="19">
        <v>0</v>
      </c>
      <c r="E25" s="18">
        <v>25</v>
      </c>
      <c r="F25" s="18">
        <v>25</v>
      </c>
      <c r="G25" s="18">
        <v>0</v>
      </c>
      <c r="H25" s="18">
        <v>50</v>
      </c>
      <c r="I25" s="18">
        <v>2758091</v>
      </c>
      <c r="J25" s="18">
        <v>2758091</v>
      </c>
      <c r="K25" s="20">
        <f t="shared" si="0"/>
        <v>1.3480338393475778E-3</v>
      </c>
      <c r="L25" s="29">
        <f t="shared" si="1"/>
        <v>7436</v>
      </c>
    </row>
    <row r="26" spans="1:12" ht="15.65" x14ac:dyDescent="0.25">
      <c r="A26" s="8" t="s">
        <v>144</v>
      </c>
      <c r="B26" s="9">
        <v>63</v>
      </c>
      <c r="C26" s="9">
        <v>63</v>
      </c>
      <c r="D26" s="10">
        <v>0</v>
      </c>
      <c r="E26" s="9">
        <v>5</v>
      </c>
      <c r="F26" s="9">
        <v>5</v>
      </c>
      <c r="G26" s="9">
        <v>0</v>
      </c>
      <c r="H26" s="9">
        <v>10</v>
      </c>
      <c r="I26" s="9">
        <v>421106</v>
      </c>
      <c r="J26" s="9">
        <v>421106</v>
      </c>
      <c r="K26" s="16">
        <f t="shared" si="0"/>
        <v>2.9921207486951031E-4</v>
      </c>
      <c r="L26" s="29">
        <f t="shared" si="1"/>
        <v>252.00000000000003</v>
      </c>
    </row>
    <row r="27" spans="1:12" ht="15.65" x14ac:dyDescent="0.25">
      <c r="A27" s="8" t="s">
        <v>145</v>
      </c>
      <c r="B27" s="9">
        <v>183</v>
      </c>
      <c r="C27" s="9">
        <v>183</v>
      </c>
      <c r="D27" s="10">
        <v>0</v>
      </c>
      <c r="E27" s="9">
        <v>25</v>
      </c>
      <c r="F27" s="9">
        <v>25</v>
      </c>
      <c r="G27" s="9">
        <v>0</v>
      </c>
      <c r="H27" s="9">
        <v>50</v>
      </c>
      <c r="I27" s="9">
        <v>294586</v>
      </c>
      <c r="J27" s="9">
        <v>294586</v>
      </c>
      <c r="K27" s="16">
        <f t="shared" si="0"/>
        <v>1.2424215678952836E-3</v>
      </c>
      <c r="L27" s="29">
        <f t="shared" si="1"/>
        <v>732</v>
      </c>
    </row>
    <row r="28" spans="1:12" ht="15.65" x14ac:dyDescent="0.25">
      <c r="A28" s="17" t="s">
        <v>146</v>
      </c>
      <c r="B28" s="18">
        <v>20</v>
      </c>
      <c r="C28" s="18">
        <v>20</v>
      </c>
      <c r="D28" s="19">
        <v>0</v>
      </c>
      <c r="E28" s="18">
        <v>2</v>
      </c>
      <c r="F28" s="18">
        <v>2</v>
      </c>
      <c r="G28" s="18">
        <v>0</v>
      </c>
      <c r="H28" s="18">
        <v>4</v>
      </c>
      <c r="I28" s="18">
        <v>38209</v>
      </c>
      <c r="J28" s="18">
        <v>38209</v>
      </c>
      <c r="K28" s="20">
        <f t="shared" si="0"/>
        <v>1.0468737731947971E-3</v>
      </c>
      <c r="L28" s="29">
        <f t="shared" si="1"/>
        <v>80</v>
      </c>
    </row>
    <row r="29" spans="1:12" ht="15.65" x14ac:dyDescent="0.25">
      <c r="A29" s="8" t="s">
        <v>147</v>
      </c>
      <c r="B29" s="9">
        <v>9</v>
      </c>
      <c r="C29" s="9">
        <v>9</v>
      </c>
      <c r="D29" s="10">
        <v>0</v>
      </c>
      <c r="E29" s="9">
        <v>7</v>
      </c>
      <c r="F29" s="9">
        <v>7</v>
      </c>
      <c r="G29" s="9">
        <v>0</v>
      </c>
      <c r="H29" s="9">
        <v>14</v>
      </c>
      <c r="I29" s="9">
        <v>14131</v>
      </c>
      <c r="J29" s="9">
        <v>14131</v>
      </c>
      <c r="K29" s="16">
        <f t="shared" si="0"/>
        <v>1.2737952020380723E-3</v>
      </c>
      <c r="L29" s="29">
        <f t="shared" si="1"/>
        <v>36</v>
      </c>
    </row>
    <row r="30" spans="1:12" ht="15.65" x14ac:dyDescent="0.25">
      <c r="A30" s="8" t="s">
        <v>148</v>
      </c>
      <c r="B30" s="9">
        <v>2</v>
      </c>
      <c r="C30" s="9">
        <v>2</v>
      </c>
      <c r="D30" s="10">
        <v>0</v>
      </c>
      <c r="E30" s="9">
        <v>1</v>
      </c>
      <c r="F30" s="9">
        <v>1</v>
      </c>
      <c r="G30" s="9">
        <v>0</v>
      </c>
      <c r="H30" s="9">
        <v>2</v>
      </c>
      <c r="I30" s="9">
        <v>686</v>
      </c>
      <c r="J30" s="9">
        <v>686</v>
      </c>
      <c r="K30" s="16">
        <f t="shared" si="0"/>
        <v>5.8309037900874635E-3</v>
      </c>
      <c r="L30" s="29">
        <f t="shared" si="1"/>
        <v>8</v>
      </c>
    </row>
    <row r="31" spans="1:12" ht="15.65" x14ac:dyDescent="0.25">
      <c r="A31" s="17" t="s">
        <v>149</v>
      </c>
      <c r="B31" s="18">
        <v>25</v>
      </c>
      <c r="C31" s="18">
        <v>25</v>
      </c>
      <c r="D31" s="19">
        <v>0</v>
      </c>
      <c r="E31" s="18">
        <v>25</v>
      </c>
      <c r="F31" s="18">
        <v>25</v>
      </c>
      <c r="G31" s="18">
        <v>0</v>
      </c>
      <c r="H31" s="18">
        <v>50</v>
      </c>
      <c r="I31" s="18">
        <v>37670</v>
      </c>
      <c r="J31" s="18">
        <v>37670</v>
      </c>
      <c r="K31" s="20">
        <f t="shared" si="0"/>
        <v>1.3273161667109105E-3</v>
      </c>
      <c r="L31" s="29">
        <f t="shared" si="1"/>
        <v>100</v>
      </c>
    </row>
    <row r="32" spans="1:12" ht="15.65" x14ac:dyDescent="0.25">
      <c r="A32" s="8" t="s">
        <v>150</v>
      </c>
      <c r="B32" s="9">
        <v>87</v>
      </c>
      <c r="C32" s="9">
        <v>87</v>
      </c>
      <c r="D32" s="10">
        <v>0</v>
      </c>
      <c r="E32" s="9">
        <v>8</v>
      </c>
      <c r="F32" s="9">
        <v>8</v>
      </c>
      <c r="G32" s="9">
        <v>0</v>
      </c>
      <c r="H32" s="9">
        <v>16</v>
      </c>
      <c r="I32" s="9">
        <v>110742</v>
      </c>
      <c r="J32" s="9">
        <v>110742</v>
      </c>
      <c r="K32" s="16">
        <f t="shared" si="0"/>
        <v>1.5712195914829063E-3</v>
      </c>
      <c r="L32" s="29">
        <f t="shared" si="1"/>
        <v>348</v>
      </c>
    </row>
    <row r="33" spans="1:12" ht="15.65" x14ac:dyDescent="0.25">
      <c r="A33" s="8" t="s">
        <v>151</v>
      </c>
      <c r="B33" s="9">
        <v>2776</v>
      </c>
      <c r="C33" s="9">
        <v>2776</v>
      </c>
      <c r="D33" s="10">
        <v>0</v>
      </c>
      <c r="E33" s="9">
        <v>25</v>
      </c>
      <c r="F33" s="9">
        <v>25</v>
      </c>
      <c r="G33" s="9">
        <v>0</v>
      </c>
      <c r="H33" s="9">
        <v>50</v>
      </c>
      <c r="I33" s="9">
        <v>5666573</v>
      </c>
      <c r="J33" s="9">
        <v>5666573</v>
      </c>
      <c r="K33" s="16">
        <f t="shared" si="0"/>
        <v>9.797809010843061E-4</v>
      </c>
      <c r="L33" s="29">
        <f t="shared" si="1"/>
        <v>11104</v>
      </c>
    </row>
    <row r="34" spans="1:12" ht="15.65" x14ac:dyDescent="0.25">
      <c r="A34" s="8" t="s">
        <v>152</v>
      </c>
      <c r="B34" s="9">
        <v>708</v>
      </c>
      <c r="C34" s="9">
        <v>708</v>
      </c>
      <c r="D34" s="10">
        <v>0</v>
      </c>
      <c r="E34" s="9">
        <v>25</v>
      </c>
      <c r="F34" s="9">
        <v>25</v>
      </c>
      <c r="G34" s="12">
        <v>0</v>
      </c>
      <c r="H34" s="12">
        <v>50</v>
      </c>
      <c r="I34" s="12">
        <v>1066245</v>
      </c>
      <c r="J34" s="12">
        <v>1066245</v>
      </c>
      <c r="K34" s="16">
        <f t="shared" si="0"/>
        <v>1.3280249848768341E-3</v>
      </c>
      <c r="L34" s="29">
        <f t="shared" si="1"/>
        <v>2832</v>
      </c>
    </row>
    <row r="35" spans="1:12" ht="15.65" x14ac:dyDescent="0.25">
      <c r="A35" s="8" t="s">
        <v>153</v>
      </c>
      <c r="B35" s="9">
        <v>13</v>
      </c>
      <c r="C35" s="9">
        <v>13</v>
      </c>
      <c r="D35" s="10">
        <v>0</v>
      </c>
      <c r="E35" s="9">
        <v>13</v>
      </c>
      <c r="F35" s="9">
        <v>13</v>
      </c>
      <c r="G35" s="9">
        <v>0</v>
      </c>
      <c r="H35" s="9">
        <v>26</v>
      </c>
      <c r="I35" s="9">
        <v>19578</v>
      </c>
      <c r="J35" s="9">
        <v>19578</v>
      </c>
      <c r="K35" s="16">
        <f t="shared" si="0"/>
        <v>1.3280212483399733E-3</v>
      </c>
      <c r="L35" s="29">
        <f t="shared" si="1"/>
        <v>51.999999999999993</v>
      </c>
    </row>
    <row r="36" spans="1:12" ht="15.65" x14ac:dyDescent="0.25">
      <c r="A36" s="17" t="s">
        <v>154</v>
      </c>
      <c r="B36" s="18">
        <v>653</v>
      </c>
      <c r="C36" s="18">
        <v>653</v>
      </c>
      <c r="D36" s="19">
        <v>0</v>
      </c>
      <c r="E36" s="18">
        <v>16</v>
      </c>
      <c r="F36" s="18">
        <v>16</v>
      </c>
      <c r="G36" s="18">
        <v>0</v>
      </c>
      <c r="H36" s="18">
        <v>32</v>
      </c>
      <c r="I36" s="18">
        <v>1262281</v>
      </c>
      <c r="J36" s="18">
        <v>1262281</v>
      </c>
      <c r="K36" s="20">
        <f t="shared" si="0"/>
        <v>1.0346349188492894E-3</v>
      </c>
      <c r="L36" s="29">
        <f t="shared" si="1"/>
        <v>2611.9999999999995</v>
      </c>
    </row>
    <row r="37" spans="1:12" ht="15.65" x14ac:dyDescent="0.25">
      <c r="A37" s="8" t="s">
        <v>155</v>
      </c>
      <c r="B37" s="9">
        <v>3</v>
      </c>
      <c r="C37" s="9">
        <v>3</v>
      </c>
      <c r="D37" s="10">
        <v>0</v>
      </c>
      <c r="E37" s="9">
        <v>1</v>
      </c>
      <c r="F37" s="9">
        <v>1</v>
      </c>
      <c r="G37" s="9">
        <v>0</v>
      </c>
      <c r="H37" s="9">
        <v>2</v>
      </c>
      <c r="I37" s="9">
        <v>20933</v>
      </c>
      <c r="J37" s="9">
        <v>20933</v>
      </c>
      <c r="K37" s="16">
        <f t="shared" si="0"/>
        <v>2.8662876797401233E-4</v>
      </c>
      <c r="L37" s="29">
        <f t="shared" si="1"/>
        <v>12</v>
      </c>
    </row>
    <row r="38" spans="1:12" ht="15.65" x14ac:dyDescent="0.25">
      <c r="A38" s="8" t="s">
        <v>156</v>
      </c>
      <c r="B38" s="9">
        <v>6</v>
      </c>
      <c r="C38" s="9">
        <v>6</v>
      </c>
      <c r="D38" s="10">
        <v>0</v>
      </c>
      <c r="E38" s="9">
        <v>1</v>
      </c>
      <c r="F38" s="9">
        <v>1</v>
      </c>
      <c r="G38" s="9">
        <v>0</v>
      </c>
      <c r="H38" s="9">
        <v>2</v>
      </c>
      <c r="I38" s="9">
        <v>3050</v>
      </c>
      <c r="J38" s="9">
        <v>3050</v>
      </c>
      <c r="K38" s="16">
        <f t="shared" si="0"/>
        <v>3.9344262295081967E-3</v>
      </c>
      <c r="L38" s="29">
        <f t="shared" si="1"/>
        <v>24</v>
      </c>
    </row>
    <row r="39" spans="1:12" ht="15.65" x14ac:dyDescent="0.25">
      <c r="A39" s="8" t="s">
        <v>157</v>
      </c>
      <c r="B39" s="9">
        <v>65</v>
      </c>
      <c r="C39" s="9">
        <v>65</v>
      </c>
      <c r="D39" s="10">
        <v>0</v>
      </c>
      <c r="E39" s="9">
        <v>2</v>
      </c>
      <c r="F39" s="9">
        <v>2</v>
      </c>
      <c r="G39" s="9">
        <v>0</v>
      </c>
      <c r="H39" s="9">
        <v>4</v>
      </c>
      <c r="I39" s="9">
        <v>30333</v>
      </c>
      <c r="J39" s="9">
        <v>30333</v>
      </c>
      <c r="K39" s="16">
        <f t="shared" si="0"/>
        <v>4.2857613819932087E-3</v>
      </c>
      <c r="L39" s="29">
        <f t="shared" si="1"/>
        <v>260</v>
      </c>
    </row>
    <row r="40" spans="1:12" ht="15.65" x14ac:dyDescent="0.25">
      <c r="A40" s="8" t="s">
        <v>158</v>
      </c>
      <c r="B40" s="9">
        <v>135</v>
      </c>
      <c r="C40" s="9">
        <v>135</v>
      </c>
      <c r="D40" s="10">
        <v>0</v>
      </c>
      <c r="E40" s="9">
        <v>13</v>
      </c>
      <c r="F40" s="9">
        <v>13</v>
      </c>
      <c r="G40" s="9">
        <v>0</v>
      </c>
      <c r="H40" s="9">
        <v>26</v>
      </c>
      <c r="I40" s="9">
        <v>295156</v>
      </c>
      <c r="J40" s="9">
        <v>295156</v>
      </c>
      <c r="K40" s="16">
        <f t="shared" si="0"/>
        <v>9.1477049424711001E-4</v>
      </c>
      <c r="L40" s="29">
        <f t="shared" si="1"/>
        <v>540</v>
      </c>
    </row>
    <row r="41" spans="1:12" ht="15.65" x14ac:dyDescent="0.25">
      <c r="A41" s="8" t="s">
        <v>159</v>
      </c>
      <c r="B41" s="9">
        <v>25</v>
      </c>
      <c r="C41" s="9">
        <v>25</v>
      </c>
      <c r="D41" s="10">
        <v>0</v>
      </c>
      <c r="E41" s="9">
        <v>25</v>
      </c>
      <c r="F41" s="9">
        <v>25</v>
      </c>
      <c r="G41" s="9">
        <v>0</v>
      </c>
      <c r="H41" s="9">
        <v>50</v>
      </c>
      <c r="I41" s="9">
        <v>37611</v>
      </c>
      <c r="J41" s="9">
        <v>37611</v>
      </c>
      <c r="K41" s="16">
        <f t="shared" si="0"/>
        <v>1.3293983143229373E-3</v>
      </c>
      <c r="L41" s="29">
        <f t="shared" si="1"/>
        <v>99.999999999999986</v>
      </c>
    </row>
    <row r="42" spans="1:12" ht="15.65" x14ac:dyDescent="0.25">
      <c r="A42" s="8" t="s">
        <v>160</v>
      </c>
      <c r="B42" s="9">
        <v>794</v>
      </c>
      <c r="C42" s="9">
        <v>794</v>
      </c>
      <c r="D42" s="10">
        <v>0</v>
      </c>
      <c r="E42" s="9">
        <v>21</v>
      </c>
      <c r="F42" s="9">
        <v>21</v>
      </c>
      <c r="G42" s="9">
        <v>0</v>
      </c>
      <c r="H42" s="9">
        <v>42</v>
      </c>
      <c r="I42" s="9">
        <v>1717999</v>
      </c>
      <c r="J42" s="9">
        <v>1717999</v>
      </c>
      <c r="K42" s="16">
        <f t="shared" si="0"/>
        <v>9.2433115502395518E-4</v>
      </c>
      <c r="L42" s="29">
        <f t="shared" si="1"/>
        <v>3176</v>
      </c>
    </row>
    <row r="43" spans="1:12" ht="15.65" x14ac:dyDescent="0.25">
      <c r="A43" s="8" t="s">
        <v>161</v>
      </c>
      <c r="B43" s="9">
        <v>25</v>
      </c>
      <c r="C43" s="9">
        <v>25</v>
      </c>
      <c r="D43" s="10">
        <v>0</v>
      </c>
      <c r="E43" s="9">
        <v>25</v>
      </c>
      <c r="F43" s="9">
        <v>25</v>
      </c>
      <c r="G43" s="9">
        <v>0</v>
      </c>
      <c r="H43" s="9">
        <v>50</v>
      </c>
      <c r="I43" s="9">
        <v>37670</v>
      </c>
      <c r="J43" s="9">
        <v>37670</v>
      </c>
      <c r="K43" s="16">
        <f t="shared" si="0"/>
        <v>1.3273161667109105E-3</v>
      </c>
      <c r="L43" s="29">
        <f t="shared" si="1"/>
        <v>100</v>
      </c>
    </row>
    <row r="44" spans="1:12" ht="15.65" x14ac:dyDescent="0.25">
      <c r="A44" s="8" t="s">
        <v>162</v>
      </c>
      <c r="B44" s="9">
        <v>0</v>
      </c>
      <c r="C44" s="9">
        <v>4</v>
      </c>
      <c r="D44" s="10">
        <v>1</v>
      </c>
      <c r="E44" s="9">
        <v>0</v>
      </c>
      <c r="F44" s="9">
        <v>4</v>
      </c>
      <c r="G44" s="9">
        <v>1</v>
      </c>
      <c r="H44" s="9">
        <v>5</v>
      </c>
      <c r="I44" s="9">
        <v>38464</v>
      </c>
      <c r="J44" s="9">
        <v>38437</v>
      </c>
      <c r="K44" s="16">
        <f t="shared" si="0"/>
        <v>1.2999168053244592E-4</v>
      </c>
      <c r="L44" s="29">
        <f t="shared" si="1"/>
        <v>9.9964902246256226</v>
      </c>
    </row>
    <row r="45" spans="1:12" ht="15.65" x14ac:dyDescent="0.25">
      <c r="A45" s="8" t="s">
        <v>163</v>
      </c>
      <c r="B45" s="9">
        <v>247</v>
      </c>
      <c r="C45" s="9">
        <v>5</v>
      </c>
      <c r="D45" s="10">
        <v>3</v>
      </c>
      <c r="E45" s="9">
        <v>19</v>
      </c>
      <c r="F45" s="9">
        <v>2</v>
      </c>
      <c r="G45" s="9">
        <v>2</v>
      </c>
      <c r="H45" s="9">
        <v>19</v>
      </c>
      <c r="I45" s="9">
        <v>9429</v>
      </c>
      <c r="J45" s="9">
        <v>9187</v>
      </c>
      <c r="K45" s="16">
        <f t="shared" si="0"/>
        <v>2.7044225262488068E-2</v>
      </c>
      <c r="L45" s="29">
        <f t="shared" si="1"/>
        <v>503.45529748647789</v>
      </c>
    </row>
    <row r="46" spans="1:12" ht="15.65" x14ac:dyDescent="0.25">
      <c r="A46" s="31" t="s">
        <v>79</v>
      </c>
      <c r="B46" s="32">
        <v>4388</v>
      </c>
      <c r="C46" s="32">
        <v>1082</v>
      </c>
      <c r="D46" s="33">
        <v>4193</v>
      </c>
      <c r="E46" s="32">
        <v>1047</v>
      </c>
      <c r="F46" s="32">
        <v>491</v>
      </c>
      <c r="G46" s="32">
        <v>1162</v>
      </c>
      <c r="H46" s="32">
        <v>1175</v>
      </c>
      <c r="I46" s="32">
        <v>427716</v>
      </c>
      <c r="J46" s="32">
        <v>424410</v>
      </c>
      <c r="K46" s="35">
        <f t="shared" ref="K46:K67" si="2">(D46+C46+B46)/I46</f>
        <v>2.2592093819263248E-2</v>
      </c>
      <c r="L46" s="34">
        <f t="shared" ref="L46:L67" si="3">(I46+J46)*K46</f>
        <v>19251.310537833513</v>
      </c>
    </row>
    <row r="47" spans="1:12" ht="15.65" x14ac:dyDescent="0.25">
      <c r="A47" s="31" t="s">
        <v>80</v>
      </c>
      <c r="B47" s="32">
        <v>40672</v>
      </c>
      <c r="C47" s="32">
        <v>14</v>
      </c>
      <c r="D47" s="33">
        <v>470</v>
      </c>
      <c r="E47" s="32">
        <v>17675</v>
      </c>
      <c r="F47" s="32">
        <v>6</v>
      </c>
      <c r="G47" s="32">
        <v>448</v>
      </c>
      <c r="H47" s="32">
        <v>17783</v>
      </c>
      <c r="I47" s="32">
        <v>41142</v>
      </c>
      <c r="J47" s="32">
        <v>484</v>
      </c>
      <c r="K47" s="35">
        <f t="shared" si="2"/>
        <v>1.0003402848670457</v>
      </c>
      <c r="L47" s="34">
        <f t="shared" si="3"/>
        <v>41640.164697875647</v>
      </c>
    </row>
    <row r="48" spans="1:12" ht="15.65" x14ac:dyDescent="0.25">
      <c r="A48" s="31" t="s">
        <v>81</v>
      </c>
      <c r="B48" s="32">
        <v>185</v>
      </c>
      <c r="C48" s="32">
        <v>203</v>
      </c>
      <c r="D48" s="33">
        <v>6</v>
      </c>
      <c r="E48" s="32">
        <v>26</v>
      </c>
      <c r="F48" s="32">
        <v>35</v>
      </c>
      <c r="G48" s="32">
        <v>4</v>
      </c>
      <c r="H48" s="32">
        <v>65</v>
      </c>
      <c r="I48" s="32">
        <v>294629</v>
      </c>
      <c r="J48" s="32">
        <v>294647</v>
      </c>
      <c r="K48" s="35">
        <f t="shared" si="2"/>
        <v>1.3372750136612485E-3</v>
      </c>
      <c r="L48" s="34">
        <f t="shared" si="3"/>
        <v>788.02407095024591</v>
      </c>
    </row>
    <row r="49" spans="1:12" ht="15.65" x14ac:dyDescent="0.25">
      <c r="A49" s="31" t="s">
        <v>82</v>
      </c>
      <c r="B49" s="32">
        <v>343</v>
      </c>
      <c r="C49" s="32">
        <v>31</v>
      </c>
      <c r="D49" s="33">
        <v>96</v>
      </c>
      <c r="E49" s="32">
        <v>199</v>
      </c>
      <c r="F49" s="32">
        <v>13</v>
      </c>
      <c r="G49" s="32">
        <v>96</v>
      </c>
      <c r="H49" s="32">
        <v>301</v>
      </c>
      <c r="I49" s="32">
        <v>38935</v>
      </c>
      <c r="J49" s="32">
        <v>38623</v>
      </c>
      <c r="K49" s="35">
        <f t="shared" si="2"/>
        <v>1.2071401053037114E-2</v>
      </c>
      <c r="L49" s="34">
        <f t="shared" si="3"/>
        <v>936.23372287145241</v>
      </c>
    </row>
    <row r="50" spans="1:12" ht="15.65" x14ac:dyDescent="0.25">
      <c r="A50" s="31" t="s">
        <v>83</v>
      </c>
      <c r="B50" s="32">
        <v>10</v>
      </c>
      <c r="C50" s="32">
        <v>9</v>
      </c>
      <c r="D50" s="33">
        <v>25</v>
      </c>
      <c r="E50" s="32">
        <v>8</v>
      </c>
      <c r="F50" s="32">
        <v>7</v>
      </c>
      <c r="G50" s="32">
        <v>23</v>
      </c>
      <c r="H50" s="32">
        <v>38</v>
      </c>
      <c r="I50" s="32">
        <v>14157</v>
      </c>
      <c r="J50" s="32">
        <v>14156</v>
      </c>
      <c r="K50" s="35">
        <f t="shared" si="2"/>
        <v>3.108003108003108E-3</v>
      </c>
      <c r="L50" s="34">
        <f t="shared" si="3"/>
        <v>87.996891996892003</v>
      </c>
    </row>
    <row r="51" spans="1:12" ht="15.65" x14ac:dyDescent="0.25">
      <c r="A51" s="31" t="s">
        <v>84</v>
      </c>
      <c r="B51" s="32">
        <v>34</v>
      </c>
      <c r="C51" s="32">
        <v>26</v>
      </c>
      <c r="D51" s="33">
        <v>24</v>
      </c>
      <c r="E51" s="32">
        <v>18</v>
      </c>
      <c r="F51" s="32">
        <v>14</v>
      </c>
      <c r="G51" s="32">
        <v>12</v>
      </c>
      <c r="H51" s="32">
        <v>32</v>
      </c>
      <c r="I51" s="32">
        <v>691</v>
      </c>
      <c r="J51" s="32">
        <v>683</v>
      </c>
      <c r="K51" s="35">
        <f t="shared" si="2"/>
        <v>0.12156295224312591</v>
      </c>
      <c r="L51" s="34">
        <f t="shared" si="3"/>
        <v>167.02749638205501</v>
      </c>
    </row>
    <row r="52" spans="1:12" ht="15.65" x14ac:dyDescent="0.25">
      <c r="A52" s="31" t="s">
        <v>85</v>
      </c>
      <c r="B52" s="32">
        <v>30</v>
      </c>
      <c r="C52" s="32">
        <v>35</v>
      </c>
      <c r="D52" s="33">
        <v>18343</v>
      </c>
      <c r="E52" s="32">
        <v>30</v>
      </c>
      <c r="F52" s="32">
        <v>35</v>
      </c>
      <c r="G52" s="32">
        <v>18343</v>
      </c>
      <c r="H52" s="32">
        <v>18408</v>
      </c>
      <c r="I52" s="32">
        <v>39104</v>
      </c>
      <c r="J52" s="32">
        <v>39109</v>
      </c>
      <c r="K52" s="35">
        <f t="shared" si="2"/>
        <v>0.47074468085106386</v>
      </c>
      <c r="L52" s="34">
        <f t="shared" si="3"/>
        <v>36818.35372340426</v>
      </c>
    </row>
    <row r="53" spans="1:12" ht="15.65" x14ac:dyDescent="0.25">
      <c r="A53" s="31" t="s">
        <v>86</v>
      </c>
      <c r="B53" s="32">
        <v>87</v>
      </c>
      <c r="C53" s="32">
        <v>88</v>
      </c>
      <c r="D53" s="33">
        <v>0</v>
      </c>
      <c r="E53" s="32">
        <v>8</v>
      </c>
      <c r="F53" s="32">
        <v>9</v>
      </c>
      <c r="G53" s="32">
        <v>0</v>
      </c>
      <c r="H53" s="32">
        <v>17</v>
      </c>
      <c r="I53" s="32">
        <v>110741</v>
      </c>
      <c r="J53" s="32">
        <v>110742</v>
      </c>
      <c r="K53" s="35">
        <f t="shared" si="2"/>
        <v>1.5802638589140427E-3</v>
      </c>
      <c r="L53" s="34">
        <f t="shared" si="3"/>
        <v>350.0015802638589</v>
      </c>
    </row>
    <row r="54" spans="1:12" ht="15.65" x14ac:dyDescent="0.25">
      <c r="A54" s="31" t="s">
        <v>87</v>
      </c>
      <c r="B54" s="32">
        <v>137111</v>
      </c>
      <c r="C54" s="32">
        <v>4251</v>
      </c>
      <c r="D54" s="33">
        <v>4321</v>
      </c>
      <c r="E54" s="32">
        <v>10866</v>
      </c>
      <c r="F54" s="32">
        <v>112</v>
      </c>
      <c r="G54" s="32">
        <v>4260</v>
      </c>
      <c r="H54" s="32">
        <v>11348</v>
      </c>
      <c r="I54" s="32">
        <v>5853680</v>
      </c>
      <c r="J54" s="32">
        <v>5720820</v>
      </c>
      <c r="K54" s="35">
        <f t="shared" si="2"/>
        <v>2.4887421246122098E-2</v>
      </c>
      <c r="L54" s="34">
        <f t="shared" si="3"/>
        <v>288059.45721324021</v>
      </c>
    </row>
    <row r="55" spans="1:12" ht="15.65" x14ac:dyDescent="0.25">
      <c r="A55" s="31" t="s">
        <v>164</v>
      </c>
      <c r="B55" s="32">
        <v>2</v>
      </c>
      <c r="C55" s="32">
        <v>0</v>
      </c>
      <c r="D55" s="33">
        <v>0</v>
      </c>
      <c r="E55" s="32">
        <v>2</v>
      </c>
      <c r="F55" s="32">
        <v>0</v>
      </c>
      <c r="G55" s="32">
        <v>0</v>
      </c>
      <c r="H55" s="32">
        <v>2</v>
      </c>
      <c r="I55" s="32">
        <v>2</v>
      </c>
      <c r="J55" s="32">
        <v>0</v>
      </c>
      <c r="K55" s="35">
        <f t="shared" si="2"/>
        <v>1</v>
      </c>
      <c r="L55" s="34">
        <f t="shared" si="3"/>
        <v>2</v>
      </c>
    </row>
    <row r="56" spans="1:12" ht="15.65" x14ac:dyDescent="0.25">
      <c r="A56" s="31" t="s">
        <v>88</v>
      </c>
      <c r="B56" s="32">
        <v>713</v>
      </c>
      <c r="C56" s="32">
        <v>716</v>
      </c>
      <c r="D56" s="33">
        <v>676</v>
      </c>
      <c r="E56" s="32">
        <v>30</v>
      </c>
      <c r="F56" s="32">
        <v>33</v>
      </c>
      <c r="G56" s="32">
        <v>676</v>
      </c>
      <c r="H56" s="32">
        <v>739</v>
      </c>
      <c r="I56" s="32">
        <v>1067254</v>
      </c>
      <c r="J56" s="32">
        <v>1067257</v>
      </c>
      <c r="K56" s="35">
        <f t="shared" si="2"/>
        <v>1.9723514739696454E-3</v>
      </c>
      <c r="L56" s="34">
        <f t="shared" si="3"/>
        <v>4210.0059170544218</v>
      </c>
    </row>
    <row r="57" spans="1:12" ht="15.65" x14ac:dyDescent="0.25">
      <c r="A57" s="31" t="s">
        <v>165</v>
      </c>
      <c r="B57" s="32">
        <v>13</v>
      </c>
      <c r="C57" s="32">
        <v>13</v>
      </c>
      <c r="D57" s="33">
        <v>0</v>
      </c>
      <c r="E57" s="32">
        <v>13</v>
      </c>
      <c r="F57" s="32">
        <v>13</v>
      </c>
      <c r="G57" s="32">
        <v>0</v>
      </c>
      <c r="H57" s="32">
        <v>26</v>
      </c>
      <c r="I57" s="32">
        <v>19578</v>
      </c>
      <c r="J57" s="32">
        <v>19578</v>
      </c>
      <c r="K57" s="35">
        <f t="shared" si="2"/>
        <v>1.3280212483399733E-3</v>
      </c>
      <c r="L57" s="34">
        <f t="shared" si="3"/>
        <v>51.999999999999993</v>
      </c>
    </row>
    <row r="58" spans="1:12" ht="15.65" x14ac:dyDescent="0.25">
      <c r="A58" s="31" t="s">
        <v>89</v>
      </c>
      <c r="B58" s="32">
        <v>14990</v>
      </c>
      <c r="C58" s="32">
        <v>655</v>
      </c>
      <c r="D58" s="33">
        <v>0</v>
      </c>
      <c r="E58" s="32">
        <v>1727</v>
      </c>
      <c r="F58" s="32">
        <v>17</v>
      </c>
      <c r="G58" s="32">
        <v>0</v>
      </c>
      <c r="H58" s="32">
        <v>1743</v>
      </c>
      <c r="I58" s="32">
        <v>1278266</v>
      </c>
      <c r="J58" s="32">
        <v>1263931</v>
      </c>
      <c r="K58" s="35">
        <f t="shared" si="2"/>
        <v>1.2239236590819125E-2</v>
      </c>
      <c r="L58" s="34">
        <f t="shared" si="3"/>
        <v>31114.550543470606</v>
      </c>
    </row>
    <row r="59" spans="1:12" ht="15.65" x14ac:dyDescent="0.25">
      <c r="A59" s="31" t="s">
        <v>90</v>
      </c>
      <c r="B59" s="32">
        <v>172</v>
      </c>
      <c r="C59" s="32">
        <v>3</v>
      </c>
      <c r="D59" s="33">
        <v>224</v>
      </c>
      <c r="E59" s="32">
        <v>155</v>
      </c>
      <c r="F59" s="32">
        <v>1</v>
      </c>
      <c r="G59" s="32">
        <v>213</v>
      </c>
      <c r="H59" s="32">
        <v>358</v>
      </c>
      <c r="I59" s="32">
        <v>21332</v>
      </c>
      <c r="J59" s="32">
        <v>21163</v>
      </c>
      <c r="K59" s="35">
        <f t="shared" si="2"/>
        <v>1.8704294018376148E-2</v>
      </c>
      <c r="L59" s="34">
        <f t="shared" si="3"/>
        <v>794.8389743108944</v>
      </c>
    </row>
    <row r="60" spans="1:12" ht="15.65" x14ac:dyDescent="0.25">
      <c r="A60" s="31" t="s">
        <v>166</v>
      </c>
      <c r="B60" s="32">
        <v>8</v>
      </c>
      <c r="C60" s="32">
        <v>6</v>
      </c>
      <c r="D60" s="33">
        <v>0</v>
      </c>
      <c r="E60" s="32">
        <v>2</v>
      </c>
      <c r="F60" s="32">
        <v>1</v>
      </c>
      <c r="G60" s="32">
        <v>0</v>
      </c>
      <c r="H60" s="32">
        <v>3</v>
      </c>
      <c r="I60" s="32">
        <v>3052</v>
      </c>
      <c r="J60" s="32">
        <v>3050</v>
      </c>
      <c r="K60" s="35">
        <f t="shared" si="2"/>
        <v>4.5871559633027525E-3</v>
      </c>
      <c r="L60" s="34">
        <f t="shared" si="3"/>
        <v>27.990825688073397</v>
      </c>
    </row>
    <row r="61" spans="1:12" ht="15.65" x14ac:dyDescent="0.25">
      <c r="A61" s="31" t="s">
        <v>91</v>
      </c>
      <c r="B61" s="32">
        <v>217</v>
      </c>
      <c r="C61" s="32">
        <v>0</v>
      </c>
      <c r="D61" s="33">
        <v>1</v>
      </c>
      <c r="E61" s="32">
        <v>102</v>
      </c>
      <c r="F61" s="32">
        <v>0</v>
      </c>
      <c r="G61" s="32">
        <v>1</v>
      </c>
      <c r="H61" s="32">
        <v>103</v>
      </c>
      <c r="I61" s="32">
        <v>2371</v>
      </c>
      <c r="J61" s="32">
        <v>2154</v>
      </c>
      <c r="K61" s="35">
        <f t="shared" si="2"/>
        <v>9.1944327288064107E-2</v>
      </c>
      <c r="L61" s="34">
        <f t="shared" si="3"/>
        <v>416.04808097849008</v>
      </c>
    </row>
    <row r="62" spans="1:12" ht="15.65" x14ac:dyDescent="0.25">
      <c r="A62" s="31" t="s">
        <v>92</v>
      </c>
      <c r="B62" s="32">
        <v>671</v>
      </c>
      <c r="C62" s="32">
        <v>76</v>
      </c>
      <c r="D62" s="33">
        <v>2947</v>
      </c>
      <c r="E62" s="32">
        <v>121</v>
      </c>
      <c r="F62" s="32">
        <v>13</v>
      </c>
      <c r="G62" s="32">
        <v>341</v>
      </c>
      <c r="H62" s="32">
        <v>387</v>
      </c>
      <c r="I62" s="32">
        <v>31004</v>
      </c>
      <c r="J62" s="32">
        <v>30409</v>
      </c>
      <c r="K62" s="35">
        <f t="shared" si="2"/>
        <v>0.11914591665591537</v>
      </c>
      <c r="L62" s="34">
        <f t="shared" si="3"/>
        <v>7317.1081795897308</v>
      </c>
    </row>
    <row r="63" spans="1:12" ht="15.65" x14ac:dyDescent="0.25">
      <c r="A63" s="31" t="s">
        <v>93</v>
      </c>
      <c r="B63" s="32">
        <v>2253</v>
      </c>
      <c r="C63" s="32">
        <v>143</v>
      </c>
      <c r="D63" s="33">
        <v>14700</v>
      </c>
      <c r="E63" s="32">
        <v>1067</v>
      </c>
      <c r="F63" s="32">
        <v>13</v>
      </c>
      <c r="G63" s="32">
        <v>13549</v>
      </c>
      <c r="H63" s="32">
        <v>14629</v>
      </c>
      <c r="I63" s="32">
        <v>326096</v>
      </c>
      <c r="J63" s="32">
        <v>323986</v>
      </c>
      <c r="K63" s="35">
        <f t="shared" si="2"/>
        <v>5.2426279377851923E-2</v>
      </c>
      <c r="L63" s="34">
        <f t="shared" si="3"/>
        <v>34081.380550512731</v>
      </c>
    </row>
    <row r="64" spans="1:12" ht="15.65" x14ac:dyDescent="0.25">
      <c r="A64" s="31" t="s">
        <v>94</v>
      </c>
      <c r="B64" s="32">
        <v>40</v>
      </c>
      <c r="C64" s="32">
        <v>45</v>
      </c>
      <c r="D64" s="33">
        <v>0</v>
      </c>
      <c r="E64" s="32">
        <v>40</v>
      </c>
      <c r="F64" s="32">
        <v>45</v>
      </c>
      <c r="G64" s="32">
        <v>0</v>
      </c>
      <c r="H64" s="32">
        <v>75</v>
      </c>
      <c r="I64" s="32">
        <v>38627</v>
      </c>
      <c r="J64" s="32">
        <v>38632</v>
      </c>
      <c r="K64" s="35">
        <f t="shared" si="2"/>
        <v>2.2005333057187977E-3</v>
      </c>
      <c r="L64" s="34">
        <f t="shared" si="3"/>
        <v>170.01100266652858</v>
      </c>
    </row>
    <row r="65" spans="1:12" ht="15.65" x14ac:dyDescent="0.25">
      <c r="A65" s="31" t="s">
        <v>95</v>
      </c>
      <c r="B65" s="32">
        <v>5122</v>
      </c>
      <c r="C65" s="32">
        <v>926</v>
      </c>
      <c r="D65" s="33">
        <v>34571</v>
      </c>
      <c r="E65" s="32">
        <v>1310</v>
      </c>
      <c r="F65" s="32">
        <v>94</v>
      </c>
      <c r="G65" s="32">
        <v>2458</v>
      </c>
      <c r="H65" s="32">
        <v>3226</v>
      </c>
      <c r="I65" s="32">
        <v>1741487</v>
      </c>
      <c r="J65" s="32">
        <v>1737291</v>
      </c>
      <c r="K65" s="35">
        <f t="shared" si="2"/>
        <v>2.3324319963341673E-2</v>
      </c>
      <c r="L65" s="34">
        <f t="shared" si="3"/>
        <v>81140.131153433817</v>
      </c>
    </row>
    <row r="66" spans="1:12" ht="15.65" x14ac:dyDescent="0.25">
      <c r="A66" s="31" t="s">
        <v>96</v>
      </c>
      <c r="B66" s="32">
        <v>30</v>
      </c>
      <c r="C66" s="32">
        <v>35</v>
      </c>
      <c r="D66" s="33">
        <v>755</v>
      </c>
      <c r="E66" s="32">
        <v>30</v>
      </c>
      <c r="F66" s="32">
        <v>35</v>
      </c>
      <c r="G66" s="32">
        <v>755</v>
      </c>
      <c r="H66" s="32">
        <v>820</v>
      </c>
      <c r="I66" s="32">
        <v>39104</v>
      </c>
      <c r="J66" s="32">
        <v>39109</v>
      </c>
      <c r="K66" s="35">
        <f t="shared" si="2"/>
        <v>2.0969721767594107E-2</v>
      </c>
      <c r="L66" s="34">
        <f t="shared" si="3"/>
        <v>1640.1048486088378</v>
      </c>
    </row>
    <row r="67" spans="1:12" ht="15.65" x14ac:dyDescent="0.25">
      <c r="A67" s="31"/>
      <c r="B67" s="32"/>
      <c r="C67" s="32"/>
      <c r="D67" s="33"/>
      <c r="E67" s="32"/>
      <c r="F67" s="32"/>
      <c r="G67" s="32"/>
      <c r="H67" s="32"/>
      <c r="I67" s="32"/>
      <c r="J67" s="32"/>
      <c r="K67" s="35" t="e">
        <f t="shared" si="2"/>
        <v>#DIV/0!</v>
      </c>
      <c r="L67" s="34" t="e">
        <f t="shared" si="3"/>
        <v>#DIV/0!</v>
      </c>
    </row>
    <row r="68" spans="1:12" ht="15.65" x14ac:dyDescent="0.25">
      <c r="B68" s="25">
        <f>SUM(Tableau326303438[Nombre de ligne du 
schéma A absente du B])</f>
        <v>222107</v>
      </c>
      <c r="C68" s="25">
        <f>SUM(Tableau326303438[Nombre de ligne du 
schéma B absente du A])</f>
        <v>21940</v>
      </c>
      <c r="D68" s="25">
        <f>SUM(Tableau326303438[Nombre de lignes présentent 
dans les deux schémas 
mais ayant un contenu différent ])</f>
        <v>140889</v>
      </c>
    </row>
  </sheetData>
  <mergeCells count="4">
    <mergeCell ref="A1:K1"/>
    <mergeCell ref="A9:K9"/>
    <mergeCell ref="A13:K13"/>
    <mergeCell ref="A18:K18"/>
  </mergeCells>
  <conditionalFormatting sqref="L20:L67">
    <cfRule type="colorScale" priority="4">
      <colorScale>
        <cfvo type="min"/>
        <cfvo type="max"/>
        <color rgb="FFFCFCFF"/>
        <color rgb="FFF8696B"/>
      </colorScale>
    </cfRule>
  </conditionalFormatting>
  <conditionalFormatting sqref="L11">
    <cfRule type="colorScale" priority="12">
      <colorScale>
        <cfvo type="min"/>
        <cfvo type="max"/>
        <color rgb="FFFCFCFF"/>
        <color rgb="FFF8696B"/>
      </colorScale>
    </cfRule>
  </conditionalFormatting>
  <conditionalFormatting sqref="L1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9"/>
  <sheetViews>
    <sheetView topLeftCell="A16" workbookViewId="0">
      <selection activeCell="A36" sqref="A36:L36"/>
    </sheetView>
  </sheetViews>
  <sheetFormatPr baseColWidth="10" defaultRowHeight="12.9" x14ac:dyDescent="0.2"/>
  <cols>
    <col min="1" max="1" width="27.375" customWidth="1"/>
    <col min="2" max="2" width="22.25" style="6" bestFit="1" customWidth="1"/>
    <col min="3" max="3" width="22.25" bestFit="1" customWidth="1"/>
    <col min="4" max="4" width="22.25" customWidth="1"/>
    <col min="5" max="5" width="16" customWidth="1"/>
    <col min="6" max="6" width="16.875" bestFit="1" customWidth="1"/>
    <col min="7" max="10" width="13.625" customWidth="1"/>
    <col min="11" max="11" width="16.375" bestFit="1" customWidth="1"/>
    <col min="12" max="12" width="14.125" bestFit="1" customWidth="1"/>
  </cols>
  <sheetData>
    <row r="1" spans="1:12" ht="26.35" customHeight="1" x14ac:dyDescent="0.35">
      <c r="A1" s="38" t="s">
        <v>141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26"/>
    </row>
    <row r="2" spans="1:12" ht="12.75" customHeight="1" x14ac:dyDescent="0.2">
      <c r="D2" s="2"/>
      <c r="E2" s="2"/>
      <c r="F2" s="2"/>
      <c r="G2" s="2"/>
      <c r="H2" s="2"/>
      <c r="I2" s="2"/>
      <c r="J2" s="2"/>
      <c r="K2" s="2"/>
    </row>
    <row r="3" spans="1:12" ht="49.6" thickBot="1" x14ac:dyDescent="0.35">
      <c r="A3" s="14" t="s">
        <v>12</v>
      </c>
    </row>
    <row r="4" spans="1:12" ht="13.6" thickTop="1" x14ac:dyDescent="0.2">
      <c r="A4" t="s">
        <v>167</v>
      </c>
    </row>
    <row r="5" spans="1:12" x14ac:dyDescent="0.2">
      <c r="A5" t="s">
        <v>168</v>
      </c>
      <c r="B5"/>
      <c r="C5" s="1"/>
      <c r="D5" s="3"/>
    </row>
    <row r="6" spans="1:12" x14ac:dyDescent="0.2">
      <c r="C6" s="1"/>
    </row>
    <row r="7" spans="1:12" ht="24.45" thickBot="1" x14ac:dyDescent="0.45">
      <c r="A7" s="37" t="s">
        <v>5</v>
      </c>
      <c r="B7" s="37"/>
      <c r="C7" s="37"/>
      <c r="D7" s="37"/>
      <c r="E7" s="37"/>
      <c r="F7" s="37"/>
      <c r="G7" s="37"/>
      <c r="H7" s="37"/>
      <c r="I7" s="37"/>
      <c r="J7" s="37"/>
      <c r="K7" s="37"/>
    </row>
    <row r="8" spans="1:12" ht="69.8" customHeight="1" thickTop="1" x14ac:dyDescent="0.2">
      <c r="A8" t="s">
        <v>2</v>
      </c>
      <c r="B8" s="21" t="s">
        <v>0</v>
      </c>
      <c r="C8" s="22" t="s">
        <v>1</v>
      </c>
      <c r="D8" s="23" t="s">
        <v>3</v>
      </c>
      <c r="E8" s="23" t="s">
        <v>6</v>
      </c>
      <c r="F8" s="23" t="s">
        <v>9</v>
      </c>
      <c r="G8" s="23" t="s">
        <v>7</v>
      </c>
      <c r="H8" s="23" t="s">
        <v>8</v>
      </c>
      <c r="I8" s="23" t="s">
        <v>4</v>
      </c>
      <c r="J8" s="23" t="s">
        <v>11</v>
      </c>
      <c r="K8" s="2" t="s">
        <v>10</v>
      </c>
      <c r="L8" t="s">
        <v>15</v>
      </c>
    </row>
    <row r="9" spans="1:12" ht="15.65" x14ac:dyDescent="0.25">
      <c r="A9" s="8"/>
      <c r="B9" s="9"/>
      <c r="C9" s="9"/>
      <c r="D9" s="10"/>
      <c r="E9" s="9"/>
      <c r="F9" s="9"/>
      <c r="G9" s="9"/>
      <c r="H9" s="9"/>
      <c r="I9" s="9"/>
      <c r="J9" s="9"/>
      <c r="K9" s="16" t="e">
        <f>(D9+C9+B9)/I9</f>
        <v>#DIV/0!</v>
      </c>
      <c r="L9" s="29" t="e">
        <f>(I9+J9)*K9</f>
        <v>#DIV/0!</v>
      </c>
    </row>
    <row r="10" spans="1:12" ht="15.65" x14ac:dyDescent="0.25">
      <c r="A10" s="8"/>
      <c r="B10" s="9">
        <f>SUM(Tableau32832364017[Nombre de ligne du 
schéma A absente du B])</f>
        <v>0</v>
      </c>
      <c r="C10" s="9">
        <f>SUM(Tableau32832364017[Nombre de ligne du 
schéma B absente du A])</f>
        <v>0</v>
      </c>
      <c r="D10" s="9">
        <f>SUM(Tableau32832364017[Nombre de lignes présentent 
dans les deux schémas 
mais ayant un contenu différent ])</f>
        <v>0</v>
      </c>
      <c r="E10" s="9"/>
      <c r="F10" s="9"/>
      <c r="G10" s="12"/>
      <c r="H10" s="12"/>
      <c r="I10" s="12"/>
      <c r="J10" s="12"/>
      <c r="K10" s="15"/>
    </row>
    <row r="11" spans="1:12" ht="24.45" thickBot="1" x14ac:dyDescent="0.45">
      <c r="A11" s="37" t="s">
        <v>13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</row>
    <row r="12" spans="1:12" ht="65.25" thickTop="1" x14ac:dyDescent="0.2">
      <c r="A12" t="s">
        <v>2</v>
      </c>
      <c r="B12" s="7" t="s">
        <v>0</v>
      </c>
      <c r="C12" s="5" t="s">
        <v>1</v>
      </c>
      <c r="D12" s="4" t="s">
        <v>3</v>
      </c>
      <c r="E12" s="2" t="s">
        <v>6</v>
      </c>
      <c r="F12" s="2" t="s">
        <v>9</v>
      </c>
      <c r="G12" s="2" t="s">
        <v>7</v>
      </c>
      <c r="H12" s="2" t="s">
        <v>8</v>
      </c>
      <c r="I12" s="2" t="s">
        <v>4</v>
      </c>
      <c r="J12" s="2" t="s">
        <v>11</v>
      </c>
      <c r="K12" s="2" t="s">
        <v>10</v>
      </c>
      <c r="L12" t="s">
        <v>15</v>
      </c>
    </row>
    <row r="13" spans="1:12" ht="15.65" x14ac:dyDescent="0.25">
      <c r="A13" s="8"/>
      <c r="B13" s="9"/>
      <c r="C13" s="9"/>
      <c r="D13" s="10"/>
      <c r="E13" s="9"/>
      <c r="F13" s="9"/>
      <c r="G13" s="9"/>
      <c r="H13" s="9"/>
      <c r="I13" s="9"/>
      <c r="J13" s="9"/>
      <c r="K13" s="30" t="e">
        <f>(D13+C13+B13)/I13</f>
        <v>#DIV/0!</v>
      </c>
      <c r="L13" s="29" t="e">
        <f>(I13+J13)*K13</f>
        <v>#DIV/0!</v>
      </c>
    </row>
    <row r="14" spans="1:12" ht="15.65" x14ac:dyDescent="0.25">
      <c r="B14" s="9">
        <f>SUM(Tableau31416184072933374118[Nombre de ligne du 
schéma A absente du B])</f>
        <v>0</v>
      </c>
      <c r="C14" s="9">
        <f>SUM(Tableau31416184072933374118[Nombre de ligne du 
schéma B absente du A])</f>
        <v>0</v>
      </c>
      <c r="D14" s="9">
        <f>SUM(Tableau31416184072933374118[Nombre de lignes présentent 
dans les deux schémas 
mais ayant un contenu différent ])</f>
        <v>0</v>
      </c>
    </row>
    <row r="15" spans="1:12" ht="24.45" thickBot="1" x14ac:dyDescent="0.45">
      <c r="A15" s="37" t="s">
        <v>14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</row>
    <row r="16" spans="1:12" ht="65.25" thickTop="1" x14ac:dyDescent="0.2">
      <c r="A16" t="s">
        <v>2</v>
      </c>
      <c r="B16" s="21" t="s">
        <v>0</v>
      </c>
      <c r="C16" s="22" t="s">
        <v>1</v>
      </c>
      <c r="D16" s="23" t="s">
        <v>3</v>
      </c>
      <c r="E16" s="23" t="s">
        <v>6</v>
      </c>
      <c r="F16" s="23" t="s">
        <v>9</v>
      </c>
      <c r="G16" s="23" t="s">
        <v>7</v>
      </c>
      <c r="H16" s="23" t="s">
        <v>8</v>
      </c>
      <c r="I16" s="23" t="s">
        <v>4</v>
      </c>
      <c r="J16" s="23" t="s">
        <v>11</v>
      </c>
      <c r="K16" s="2" t="s">
        <v>10</v>
      </c>
      <c r="L16" t="s">
        <v>15</v>
      </c>
    </row>
    <row r="17" spans="1:12" ht="15.65" x14ac:dyDescent="0.25">
      <c r="A17" s="8" t="s">
        <v>169</v>
      </c>
      <c r="B17" s="9">
        <v>102</v>
      </c>
      <c r="C17" s="9">
        <v>102</v>
      </c>
      <c r="D17" s="10">
        <v>0</v>
      </c>
      <c r="E17" s="9">
        <v>25</v>
      </c>
      <c r="F17" s="9">
        <v>25</v>
      </c>
      <c r="G17" s="9">
        <v>0</v>
      </c>
      <c r="H17" s="9">
        <v>50</v>
      </c>
      <c r="I17" s="9">
        <v>154864</v>
      </c>
      <c r="J17" s="9">
        <v>154864</v>
      </c>
      <c r="K17" s="16">
        <f>(D17+C17+B17)/I17</f>
        <v>1.3172848434755656E-3</v>
      </c>
      <c r="L17" s="29">
        <f>(I17+J17)*K17</f>
        <v>408</v>
      </c>
    </row>
    <row r="18" spans="1:12" ht="15.65" x14ac:dyDescent="0.25">
      <c r="A18" s="31" t="s">
        <v>170</v>
      </c>
      <c r="B18" s="32">
        <v>0</v>
      </c>
      <c r="C18" s="32">
        <v>3</v>
      </c>
      <c r="D18" s="33">
        <v>0</v>
      </c>
      <c r="E18" s="32"/>
      <c r="F18" s="32"/>
      <c r="G18" s="32"/>
      <c r="H18" s="32"/>
      <c r="I18" s="32">
        <v>6</v>
      </c>
      <c r="J18" s="32">
        <v>9</v>
      </c>
      <c r="K18" s="35">
        <f t="shared" ref="K18:K58" si="0">(D18+C18+B18)/I18</f>
        <v>0.5</v>
      </c>
      <c r="L18" s="34">
        <f t="shared" ref="L18:L58" si="1">(I18+J18)*K18</f>
        <v>7.5</v>
      </c>
    </row>
    <row r="19" spans="1:12" ht="15.65" x14ac:dyDescent="0.25">
      <c r="A19" s="31" t="s">
        <v>99</v>
      </c>
      <c r="B19" s="32">
        <v>0</v>
      </c>
      <c r="C19" s="32">
        <v>509</v>
      </c>
      <c r="D19" s="33">
        <v>758067</v>
      </c>
      <c r="E19" s="32"/>
      <c r="F19" s="32"/>
      <c r="G19" s="32"/>
      <c r="H19" s="32"/>
      <c r="I19" s="32">
        <v>4967440</v>
      </c>
      <c r="J19" s="32">
        <v>4967949</v>
      </c>
      <c r="K19" s="35">
        <f t="shared" si="0"/>
        <v>0.15270964520960495</v>
      </c>
      <c r="L19" s="34">
        <f t="shared" si="1"/>
        <v>1517229.7292094117</v>
      </c>
    </row>
    <row r="20" spans="1:12" ht="15.65" x14ac:dyDescent="0.25">
      <c r="A20" s="31" t="s">
        <v>100</v>
      </c>
      <c r="B20" s="32">
        <v>8</v>
      </c>
      <c r="C20" s="32">
        <v>1</v>
      </c>
      <c r="D20" s="33">
        <v>0</v>
      </c>
      <c r="E20" s="32"/>
      <c r="F20" s="32"/>
      <c r="G20" s="32"/>
      <c r="H20" s="32"/>
      <c r="I20" s="32">
        <v>2027</v>
      </c>
      <c r="J20" s="32">
        <v>2020</v>
      </c>
      <c r="K20" s="35">
        <f t="shared" si="0"/>
        <v>4.440059200789344E-3</v>
      </c>
      <c r="L20" s="34">
        <f t="shared" si="1"/>
        <v>17.968919585594474</v>
      </c>
    </row>
    <row r="21" spans="1:12" ht="15.65" x14ac:dyDescent="0.25">
      <c r="A21" s="31" t="s">
        <v>101</v>
      </c>
      <c r="B21" s="32">
        <v>39</v>
      </c>
      <c r="C21" s="32">
        <v>37</v>
      </c>
      <c r="D21" s="33">
        <v>669</v>
      </c>
      <c r="E21" s="32"/>
      <c r="F21" s="32"/>
      <c r="G21" s="32"/>
      <c r="H21" s="32"/>
      <c r="I21" s="32">
        <v>45140</v>
      </c>
      <c r="J21" s="32">
        <v>45138</v>
      </c>
      <c r="K21" s="35">
        <f t="shared" si="0"/>
        <v>1.6504209127159948E-2</v>
      </c>
      <c r="L21" s="34">
        <f t="shared" si="1"/>
        <v>1489.9669915817458</v>
      </c>
    </row>
    <row r="22" spans="1:12" ht="15.65" x14ac:dyDescent="0.25">
      <c r="A22" s="31" t="s">
        <v>102</v>
      </c>
      <c r="B22" s="32">
        <v>1</v>
      </c>
      <c r="C22" s="32">
        <v>0</v>
      </c>
      <c r="D22" s="33">
        <v>5</v>
      </c>
      <c r="E22" s="32"/>
      <c r="F22" s="32"/>
      <c r="G22" s="32"/>
      <c r="H22" s="32"/>
      <c r="I22" s="32">
        <v>1815</v>
      </c>
      <c r="J22" s="32">
        <v>1814</v>
      </c>
      <c r="K22" s="35">
        <f t="shared" si="0"/>
        <v>3.3057851239669421E-3</v>
      </c>
      <c r="L22" s="34">
        <f t="shared" si="1"/>
        <v>11.996694214876033</v>
      </c>
    </row>
    <row r="23" spans="1:12" ht="15.65" x14ac:dyDescent="0.25">
      <c r="A23" s="31" t="s">
        <v>103</v>
      </c>
      <c r="B23" s="32">
        <v>3</v>
      </c>
      <c r="C23" s="32">
        <v>2</v>
      </c>
      <c r="D23" s="33">
        <v>48</v>
      </c>
      <c r="E23" s="32"/>
      <c r="F23" s="32"/>
      <c r="G23" s="32"/>
      <c r="H23" s="32"/>
      <c r="I23" s="32">
        <v>54</v>
      </c>
      <c r="J23" s="32">
        <v>53</v>
      </c>
      <c r="K23" s="35">
        <f t="shared" si="0"/>
        <v>0.98148148148148151</v>
      </c>
      <c r="L23" s="34">
        <f t="shared" si="1"/>
        <v>105.01851851851852</v>
      </c>
    </row>
    <row r="24" spans="1:12" ht="15.65" x14ac:dyDescent="0.25">
      <c r="A24" s="31" t="s">
        <v>104</v>
      </c>
      <c r="B24" s="32">
        <v>2</v>
      </c>
      <c r="C24" s="32">
        <v>75</v>
      </c>
      <c r="D24" s="33">
        <v>0</v>
      </c>
      <c r="E24" s="32"/>
      <c r="F24" s="32"/>
      <c r="G24" s="32"/>
      <c r="H24" s="32"/>
      <c r="I24" s="32">
        <v>2</v>
      </c>
      <c r="J24" s="32">
        <v>75</v>
      </c>
      <c r="K24" s="35">
        <f t="shared" si="0"/>
        <v>38.5</v>
      </c>
      <c r="L24" s="34">
        <f t="shared" si="1"/>
        <v>2964.5</v>
      </c>
    </row>
    <row r="25" spans="1:12" ht="15.65" x14ac:dyDescent="0.25">
      <c r="A25" s="31" t="s">
        <v>105</v>
      </c>
      <c r="B25" s="32">
        <v>0</v>
      </c>
      <c r="C25" s="32">
        <v>0</v>
      </c>
      <c r="D25" s="33">
        <v>6</v>
      </c>
      <c r="E25" s="32"/>
      <c r="F25" s="32"/>
      <c r="G25" s="32"/>
      <c r="H25" s="32"/>
      <c r="I25" s="32">
        <v>22</v>
      </c>
      <c r="J25" s="32">
        <v>22</v>
      </c>
      <c r="K25" s="35">
        <f t="shared" si="0"/>
        <v>0.27272727272727271</v>
      </c>
      <c r="L25" s="34">
        <f t="shared" si="1"/>
        <v>12</v>
      </c>
    </row>
    <row r="26" spans="1:12" ht="15.65" x14ac:dyDescent="0.25">
      <c r="A26" s="31" t="s">
        <v>106</v>
      </c>
      <c r="B26" s="32">
        <v>0</v>
      </c>
      <c r="C26" s="32">
        <v>3</v>
      </c>
      <c r="D26" s="33">
        <v>15</v>
      </c>
      <c r="E26" s="32"/>
      <c r="F26" s="32"/>
      <c r="G26" s="32"/>
      <c r="H26" s="32"/>
      <c r="I26" s="32">
        <v>97</v>
      </c>
      <c r="J26" s="32">
        <v>100</v>
      </c>
      <c r="K26" s="35">
        <f t="shared" si="0"/>
        <v>0.18556701030927836</v>
      </c>
      <c r="L26" s="34">
        <f t="shared" si="1"/>
        <v>36.556701030927833</v>
      </c>
    </row>
    <row r="27" spans="1:12" ht="15.65" x14ac:dyDescent="0.25">
      <c r="A27" s="31" t="s">
        <v>107</v>
      </c>
      <c r="B27" s="32">
        <v>0</v>
      </c>
      <c r="C27" s="32">
        <v>0</v>
      </c>
      <c r="D27" s="33">
        <v>3</v>
      </c>
      <c r="E27" s="32"/>
      <c r="F27" s="32"/>
      <c r="G27" s="32"/>
      <c r="H27" s="32"/>
      <c r="I27" s="32">
        <v>25</v>
      </c>
      <c r="J27" s="32">
        <v>25</v>
      </c>
      <c r="K27" s="35">
        <f t="shared" si="0"/>
        <v>0.12</v>
      </c>
      <c r="L27" s="34">
        <f t="shared" si="1"/>
        <v>6</v>
      </c>
    </row>
    <row r="28" spans="1:12" ht="15.65" x14ac:dyDescent="0.25">
      <c r="A28" s="31" t="s">
        <v>108</v>
      </c>
      <c r="B28" s="32">
        <v>222</v>
      </c>
      <c r="C28" s="32">
        <v>222</v>
      </c>
      <c r="D28" s="33">
        <v>25366</v>
      </c>
      <c r="E28" s="32">
        <v>17</v>
      </c>
      <c r="F28" s="32">
        <v>17</v>
      </c>
      <c r="G28" s="32">
        <v>25048</v>
      </c>
      <c r="H28" s="32">
        <v>25082</v>
      </c>
      <c r="I28" s="32">
        <v>368278</v>
      </c>
      <c r="J28" s="32">
        <v>368278</v>
      </c>
      <c r="K28" s="35">
        <f t="shared" si="0"/>
        <v>7.0082926484883706E-2</v>
      </c>
      <c r="L28" s="34">
        <f t="shared" si="1"/>
        <v>51620</v>
      </c>
    </row>
    <row r="29" spans="1:12" ht="15.65" x14ac:dyDescent="0.25">
      <c r="A29" s="31" t="s">
        <v>171</v>
      </c>
      <c r="B29" s="32">
        <v>196</v>
      </c>
      <c r="C29" s="32">
        <v>196</v>
      </c>
      <c r="D29" s="33">
        <v>0</v>
      </c>
      <c r="E29" s="32">
        <v>17</v>
      </c>
      <c r="F29" s="32">
        <v>17</v>
      </c>
      <c r="G29" s="32">
        <v>0</v>
      </c>
      <c r="H29" s="32">
        <v>34</v>
      </c>
      <c r="I29" s="32">
        <v>318026</v>
      </c>
      <c r="J29" s="32">
        <v>318026</v>
      </c>
      <c r="K29" s="35">
        <f t="shared" si="0"/>
        <v>1.2326036236031015E-3</v>
      </c>
      <c r="L29" s="34">
        <f t="shared" si="1"/>
        <v>783.99999999999989</v>
      </c>
    </row>
    <row r="30" spans="1:12" ht="15.65" x14ac:dyDescent="0.25">
      <c r="A30" s="31" t="s">
        <v>109</v>
      </c>
      <c r="B30" s="32">
        <v>0</v>
      </c>
      <c r="C30" s="32">
        <v>0</v>
      </c>
      <c r="D30" s="33">
        <v>1</v>
      </c>
      <c r="E30" s="32"/>
      <c r="F30" s="32"/>
      <c r="G30" s="32"/>
      <c r="H30" s="32"/>
      <c r="I30" s="32">
        <v>24</v>
      </c>
      <c r="J30" s="32">
        <v>24</v>
      </c>
      <c r="K30" s="35">
        <f t="shared" si="0"/>
        <v>4.1666666666666664E-2</v>
      </c>
      <c r="L30" s="34">
        <f t="shared" si="1"/>
        <v>2</v>
      </c>
    </row>
    <row r="31" spans="1:12" ht="15.65" x14ac:dyDescent="0.25">
      <c r="A31" s="31" t="s">
        <v>110</v>
      </c>
      <c r="B31" s="32">
        <v>1</v>
      </c>
      <c r="C31" s="32">
        <v>1</v>
      </c>
      <c r="D31" s="33">
        <v>0</v>
      </c>
      <c r="E31" s="32"/>
      <c r="F31" s="32"/>
      <c r="G31" s="32"/>
      <c r="H31" s="32"/>
      <c r="I31" s="32">
        <v>41</v>
      </c>
      <c r="J31" s="32">
        <v>41</v>
      </c>
      <c r="K31" s="35">
        <f t="shared" si="0"/>
        <v>4.878048780487805E-2</v>
      </c>
      <c r="L31" s="34">
        <f t="shared" si="1"/>
        <v>4</v>
      </c>
    </row>
    <row r="32" spans="1:12" ht="15.65" x14ac:dyDescent="0.25">
      <c r="A32" s="31" t="s">
        <v>172</v>
      </c>
      <c r="B32" s="32">
        <v>21</v>
      </c>
      <c r="C32" s="32">
        <v>21</v>
      </c>
      <c r="D32" s="33">
        <v>0</v>
      </c>
      <c r="E32" s="32">
        <v>4</v>
      </c>
      <c r="F32" s="32">
        <v>4</v>
      </c>
      <c r="G32" s="32">
        <v>0</v>
      </c>
      <c r="H32" s="32">
        <v>8</v>
      </c>
      <c r="I32" s="32">
        <v>37298</v>
      </c>
      <c r="J32" s="32">
        <v>37298</v>
      </c>
      <c r="K32" s="35">
        <f t="shared" si="0"/>
        <v>1.1260657407903909E-3</v>
      </c>
      <c r="L32" s="34">
        <f t="shared" si="1"/>
        <v>84</v>
      </c>
    </row>
    <row r="33" spans="1:12" ht="15.65" x14ac:dyDescent="0.25">
      <c r="A33" s="31" t="s">
        <v>98</v>
      </c>
      <c r="B33" s="32">
        <v>0</v>
      </c>
      <c r="C33" s="32">
        <v>14</v>
      </c>
      <c r="D33" s="33">
        <v>3</v>
      </c>
      <c r="E33" s="32"/>
      <c r="F33" s="32"/>
      <c r="G33" s="32"/>
      <c r="H33" s="32"/>
      <c r="I33" s="32">
        <v>129</v>
      </c>
      <c r="J33" s="32">
        <v>143</v>
      </c>
      <c r="K33" s="35">
        <f t="shared" si="0"/>
        <v>0.13178294573643412</v>
      </c>
      <c r="L33" s="34">
        <f t="shared" si="1"/>
        <v>35.844961240310084</v>
      </c>
    </row>
    <row r="34" spans="1:12" ht="15.65" x14ac:dyDescent="0.25">
      <c r="A34" s="31" t="s">
        <v>173</v>
      </c>
      <c r="B34" s="32">
        <v>123</v>
      </c>
      <c r="C34" s="32">
        <v>123</v>
      </c>
      <c r="D34" s="33">
        <v>0</v>
      </c>
      <c r="E34" s="32">
        <v>5</v>
      </c>
      <c r="F34" s="32">
        <v>5</v>
      </c>
      <c r="G34" s="32">
        <v>0</v>
      </c>
      <c r="H34" s="32">
        <v>10</v>
      </c>
      <c r="I34" s="32">
        <v>222155</v>
      </c>
      <c r="J34" s="32">
        <v>222155</v>
      </c>
      <c r="K34" s="35">
        <f t="shared" si="0"/>
        <v>1.1073349688280705E-3</v>
      </c>
      <c r="L34" s="34">
        <f t="shared" si="1"/>
        <v>492</v>
      </c>
    </row>
    <row r="35" spans="1:12" ht="15.65" x14ac:dyDescent="0.25">
      <c r="A35" s="31" t="s">
        <v>111</v>
      </c>
      <c r="B35" s="32">
        <v>0</v>
      </c>
      <c r="C35" s="32">
        <v>17710</v>
      </c>
      <c r="D35" s="33">
        <v>485697</v>
      </c>
      <c r="E35" s="32"/>
      <c r="F35" s="32"/>
      <c r="G35" s="32"/>
      <c r="H35" s="32"/>
      <c r="I35" s="32">
        <v>2510639</v>
      </c>
      <c r="J35" s="32">
        <v>2528349</v>
      </c>
      <c r="K35" s="35">
        <f t="shared" si="0"/>
        <v>0.20050951172191622</v>
      </c>
      <c r="L35" s="34">
        <f t="shared" si="1"/>
        <v>1010365.0234525952</v>
      </c>
    </row>
    <row r="36" spans="1:12" ht="15.65" x14ac:dyDescent="0.25">
      <c r="A36" s="31" t="s">
        <v>112</v>
      </c>
      <c r="B36" s="32">
        <v>0</v>
      </c>
      <c r="C36" s="32">
        <v>1122228</v>
      </c>
      <c r="D36" s="33">
        <v>525624</v>
      </c>
      <c r="E36" s="32"/>
      <c r="F36" s="32"/>
      <c r="G36" s="32"/>
      <c r="H36" s="32"/>
      <c r="I36" s="32">
        <v>29107746</v>
      </c>
      <c r="J36" s="32">
        <v>30229974</v>
      </c>
      <c r="K36" s="35">
        <f t="shared" si="0"/>
        <v>5.6612147158354345E-2</v>
      </c>
      <c r="L36" s="34">
        <f t="shared" si="1"/>
        <v>3359235.7366812257</v>
      </c>
    </row>
    <row r="37" spans="1:12" ht="15.65" x14ac:dyDescent="0.25">
      <c r="A37" s="31" t="s">
        <v>113</v>
      </c>
      <c r="B37" s="32">
        <v>987</v>
      </c>
      <c r="C37" s="32">
        <v>987</v>
      </c>
      <c r="D37" s="33">
        <v>14742</v>
      </c>
      <c r="E37" s="32"/>
      <c r="F37" s="32"/>
      <c r="G37" s="32"/>
      <c r="H37" s="32"/>
      <c r="I37" s="32">
        <v>18278865</v>
      </c>
      <c r="J37" s="32">
        <v>18278865</v>
      </c>
      <c r="K37" s="35">
        <f t="shared" si="0"/>
        <v>9.1449879409908653E-4</v>
      </c>
      <c r="L37" s="34">
        <f t="shared" si="1"/>
        <v>33432</v>
      </c>
    </row>
    <row r="38" spans="1:12" ht="15.65" x14ac:dyDescent="0.25">
      <c r="A38" s="31" t="s">
        <v>114</v>
      </c>
      <c r="B38" s="32">
        <v>55980</v>
      </c>
      <c r="C38" s="32">
        <v>55984</v>
      </c>
      <c r="D38" s="33">
        <v>0</v>
      </c>
      <c r="E38" s="32"/>
      <c r="F38" s="32"/>
      <c r="G38" s="32"/>
      <c r="H38" s="32"/>
      <c r="I38" s="32">
        <v>56109729</v>
      </c>
      <c r="J38" s="32">
        <v>56109733</v>
      </c>
      <c r="K38" s="35">
        <f t="shared" si="0"/>
        <v>1.9954471710244759E-3</v>
      </c>
      <c r="L38" s="34">
        <f t="shared" si="1"/>
        <v>223928.00798178866</v>
      </c>
    </row>
    <row r="39" spans="1:12" ht="15.65" x14ac:dyDescent="0.25">
      <c r="A39" s="31" t="s">
        <v>115</v>
      </c>
      <c r="B39" s="32">
        <v>37670</v>
      </c>
      <c r="C39" s="32">
        <v>24316</v>
      </c>
      <c r="D39" s="33">
        <v>135967</v>
      </c>
      <c r="E39" s="32">
        <v>37653</v>
      </c>
      <c r="F39" s="32">
        <v>24306</v>
      </c>
      <c r="G39" s="32">
        <v>135915</v>
      </c>
      <c r="H39" s="32">
        <v>160130</v>
      </c>
      <c r="I39" s="32">
        <v>5585127</v>
      </c>
      <c r="J39" s="32">
        <v>5571773</v>
      </c>
      <c r="K39" s="35">
        <f t="shared" si="0"/>
        <v>3.5442882498464223E-2</v>
      </c>
      <c r="L39" s="34">
        <f t="shared" si="1"/>
        <v>395432.69574711547</v>
      </c>
    </row>
    <row r="40" spans="1:12" ht="15.65" x14ac:dyDescent="0.25">
      <c r="A40" s="31" t="s">
        <v>116</v>
      </c>
      <c r="B40" s="32">
        <v>0</v>
      </c>
      <c r="C40" s="32">
        <v>0</v>
      </c>
      <c r="D40" s="33">
        <v>135958</v>
      </c>
      <c r="E40" s="32">
        <v>0</v>
      </c>
      <c r="F40" s="32">
        <v>0</v>
      </c>
      <c r="G40" s="32">
        <v>135906</v>
      </c>
      <c r="H40" s="32">
        <v>135906</v>
      </c>
      <c r="I40" s="32">
        <v>2084239</v>
      </c>
      <c r="J40" s="32">
        <v>2084239</v>
      </c>
      <c r="K40" s="35">
        <f t="shared" si="0"/>
        <v>6.523148256989722E-2</v>
      </c>
      <c r="L40" s="34">
        <f t="shared" si="1"/>
        <v>271916</v>
      </c>
    </row>
    <row r="41" spans="1:12" ht="15.65" x14ac:dyDescent="0.25">
      <c r="A41" s="31" t="s">
        <v>117</v>
      </c>
      <c r="B41" s="32">
        <v>82</v>
      </c>
      <c r="C41" s="32">
        <v>70</v>
      </c>
      <c r="D41" s="33">
        <v>46</v>
      </c>
      <c r="E41" s="32"/>
      <c r="F41" s="32"/>
      <c r="G41" s="32"/>
      <c r="H41" s="32"/>
      <c r="I41" s="32">
        <v>7604</v>
      </c>
      <c r="J41" s="32">
        <v>7592</v>
      </c>
      <c r="K41" s="35">
        <f t="shared" si="0"/>
        <v>2.6038926880589165E-2</v>
      </c>
      <c r="L41" s="34">
        <f t="shared" si="1"/>
        <v>395.68753287743294</v>
      </c>
    </row>
    <row r="42" spans="1:12" ht="15.65" x14ac:dyDescent="0.25">
      <c r="A42" s="31" t="s">
        <v>118</v>
      </c>
      <c r="B42" s="32">
        <v>14847</v>
      </c>
      <c r="C42" s="32">
        <v>13183</v>
      </c>
      <c r="D42" s="33">
        <v>90</v>
      </c>
      <c r="E42" s="32">
        <v>14360</v>
      </c>
      <c r="F42" s="32">
        <v>12715</v>
      </c>
      <c r="G42" s="32">
        <v>90</v>
      </c>
      <c r="H42" s="32">
        <v>14467</v>
      </c>
      <c r="I42" s="32">
        <v>500963</v>
      </c>
      <c r="J42" s="32">
        <v>499299</v>
      </c>
      <c r="K42" s="35">
        <f t="shared" si="0"/>
        <v>5.6131889979898715E-2</v>
      </c>
      <c r="L42" s="34">
        <f t="shared" si="1"/>
        <v>56146.596535073448</v>
      </c>
    </row>
    <row r="43" spans="1:12" ht="15.65" x14ac:dyDescent="0.25">
      <c r="A43" s="31" t="s">
        <v>119</v>
      </c>
      <c r="B43" s="32">
        <v>64</v>
      </c>
      <c r="C43" s="32">
        <v>61</v>
      </c>
      <c r="D43" s="33">
        <v>136</v>
      </c>
      <c r="E43" s="32"/>
      <c r="F43" s="32"/>
      <c r="G43" s="32"/>
      <c r="H43" s="32"/>
      <c r="I43" s="32">
        <v>132876</v>
      </c>
      <c r="J43" s="32">
        <v>132873</v>
      </c>
      <c r="K43" s="35">
        <f t="shared" si="0"/>
        <v>1.9642373340558114E-3</v>
      </c>
      <c r="L43" s="34">
        <f t="shared" si="1"/>
        <v>521.99410728799785</v>
      </c>
    </row>
    <row r="44" spans="1:12" ht="15.65" x14ac:dyDescent="0.25">
      <c r="A44" s="31" t="s">
        <v>174</v>
      </c>
      <c r="B44" s="32">
        <v>0</v>
      </c>
      <c r="C44" s="32">
        <v>0</v>
      </c>
      <c r="D44" s="33">
        <v>163</v>
      </c>
      <c r="E44" s="32"/>
      <c r="F44" s="32"/>
      <c r="G44" s="32"/>
      <c r="H44" s="32"/>
      <c r="I44" s="32">
        <v>349329</v>
      </c>
      <c r="J44" s="32">
        <v>349329</v>
      </c>
      <c r="K44" s="35">
        <f t="shared" si="0"/>
        <v>4.6660884152188909E-4</v>
      </c>
      <c r="L44" s="34">
        <f t="shared" si="1"/>
        <v>326</v>
      </c>
    </row>
    <row r="45" spans="1:12" ht="15.65" x14ac:dyDescent="0.25">
      <c r="A45" s="31" t="s">
        <v>120</v>
      </c>
      <c r="B45" s="32">
        <v>71</v>
      </c>
      <c r="C45" s="32">
        <v>61</v>
      </c>
      <c r="D45" s="33">
        <v>139</v>
      </c>
      <c r="E45" s="32"/>
      <c r="F45" s="32"/>
      <c r="G45" s="32"/>
      <c r="H45" s="32"/>
      <c r="I45" s="32">
        <v>164892</v>
      </c>
      <c r="J45" s="32">
        <v>164882</v>
      </c>
      <c r="K45" s="35">
        <f t="shared" si="0"/>
        <v>1.6434999878708488E-3</v>
      </c>
      <c r="L45" s="34">
        <f t="shared" si="1"/>
        <v>541.9835650001213</v>
      </c>
    </row>
    <row r="46" spans="1:12" ht="15.65" x14ac:dyDescent="0.25">
      <c r="A46" s="31" t="s">
        <v>121</v>
      </c>
      <c r="B46" s="32">
        <v>5</v>
      </c>
      <c r="C46" s="32">
        <v>4</v>
      </c>
      <c r="D46" s="33">
        <v>0</v>
      </c>
      <c r="E46" s="32"/>
      <c r="F46" s="32"/>
      <c r="G46" s="32"/>
      <c r="H46" s="32"/>
      <c r="I46" s="32">
        <v>2195</v>
      </c>
      <c r="J46" s="32">
        <v>2194</v>
      </c>
      <c r="K46" s="35">
        <f t="shared" si="0"/>
        <v>4.1002277904328022E-3</v>
      </c>
      <c r="L46" s="34">
        <f t="shared" si="1"/>
        <v>17.995899772209569</v>
      </c>
    </row>
    <row r="47" spans="1:12" ht="15.65" x14ac:dyDescent="0.25">
      <c r="A47" s="31" t="s">
        <v>175</v>
      </c>
      <c r="B47" s="32">
        <v>0</v>
      </c>
      <c r="C47" s="32">
        <v>0</v>
      </c>
      <c r="D47" s="33">
        <v>2</v>
      </c>
      <c r="E47" s="32"/>
      <c r="F47" s="32"/>
      <c r="G47" s="32"/>
      <c r="H47" s="32"/>
      <c r="I47" s="32">
        <v>63</v>
      </c>
      <c r="J47" s="32">
        <v>63</v>
      </c>
      <c r="K47" s="35">
        <f t="shared" si="0"/>
        <v>3.1746031746031744E-2</v>
      </c>
      <c r="L47" s="34">
        <f t="shared" si="1"/>
        <v>4</v>
      </c>
    </row>
    <row r="48" spans="1:12" ht="15.65" x14ac:dyDescent="0.25">
      <c r="A48" s="31" t="s">
        <v>122</v>
      </c>
      <c r="B48" s="32">
        <v>3</v>
      </c>
      <c r="C48" s="32">
        <v>0</v>
      </c>
      <c r="D48" s="33">
        <v>31</v>
      </c>
      <c r="E48" s="32"/>
      <c r="F48" s="32"/>
      <c r="G48" s="32"/>
      <c r="H48" s="32"/>
      <c r="I48" s="32">
        <v>122428</v>
      </c>
      <c r="J48" s="32">
        <v>122425</v>
      </c>
      <c r="K48" s="35">
        <f t="shared" si="0"/>
        <v>2.7771424837455484E-4</v>
      </c>
      <c r="L48" s="34">
        <f t="shared" si="1"/>
        <v>67.999166857254878</v>
      </c>
    </row>
    <row r="49" spans="1:12" ht="15.65" x14ac:dyDescent="0.25">
      <c r="A49" s="31" t="s">
        <v>123</v>
      </c>
      <c r="B49" s="32">
        <v>99</v>
      </c>
      <c r="C49" s="32">
        <v>60</v>
      </c>
      <c r="D49" s="33">
        <v>41</v>
      </c>
      <c r="E49" s="32"/>
      <c r="F49" s="32"/>
      <c r="G49" s="32"/>
      <c r="H49" s="32"/>
      <c r="I49" s="32">
        <v>28699</v>
      </c>
      <c r="J49" s="32">
        <v>28660</v>
      </c>
      <c r="K49" s="35">
        <f t="shared" si="0"/>
        <v>6.9688839332380922E-3</v>
      </c>
      <c r="L49" s="34">
        <f t="shared" si="1"/>
        <v>399.72821352660372</v>
      </c>
    </row>
    <row r="50" spans="1:12" ht="15.65" x14ac:dyDescent="0.25">
      <c r="A50" s="31" t="s">
        <v>176</v>
      </c>
      <c r="B50" s="32">
        <v>3</v>
      </c>
      <c r="C50" s="32">
        <v>0</v>
      </c>
      <c r="D50" s="33">
        <v>0</v>
      </c>
      <c r="E50" s="32"/>
      <c r="F50" s="32"/>
      <c r="G50" s="32"/>
      <c r="H50" s="32"/>
      <c r="I50" s="32">
        <v>216484</v>
      </c>
      <c r="J50" s="32">
        <v>216481</v>
      </c>
      <c r="K50" s="35">
        <f t="shared" si="0"/>
        <v>1.3857837068790303E-5</v>
      </c>
      <c r="L50" s="34">
        <f t="shared" si="1"/>
        <v>5.9999584264887931</v>
      </c>
    </row>
    <row r="51" spans="1:12" ht="15.65" x14ac:dyDescent="0.25">
      <c r="A51" s="31" t="s">
        <v>124</v>
      </c>
      <c r="B51" s="32">
        <v>0</v>
      </c>
      <c r="C51" s="32">
        <v>25</v>
      </c>
      <c r="D51" s="33">
        <v>0</v>
      </c>
      <c r="E51" s="32"/>
      <c r="F51" s="32"/>
      <c r="G51" s="32"/>
      <c r="H51" s="32"/>
      <c r="I51" s="32">
        <v>221037</v>
      </c>
      <c r="J51" s="32">
        <v>221062</v>
      </c>
      <c r="K51" s="35">
        <f t="shared" si="0"/>
        <v>1.1310323610979157E-4</v>
      </c>
      <c r="L51" s="34">
        <f t="shared" si="1"/>
        <v>50.002827580902739</v>
      </c>
    </row>
    <row r="52" spans="1:12" ht="15.65" x14ac:dyDescent="0.25">
      <c r="A52" s="31" t="s">
        <v>125</v>
      </c>
      <c r="B52" s="32">
        <v>54</v>
      </c>
      <c r="C52" s="32">
        <v>0</v>
      </c>
      <c r="D52" s="33">
        <v>9</v>
      </c>
      <c r="E52" s="32"/>
      <c r="F52" s="32"/>
      <c r="G52" s="32"/>
      <c r="H52" s="32"/>
      <c r="I52" s="32">
        <v>66</v>
      </c>
      <c r="J52" s="32">
        <v>12</v>
      </c>
      <c r="K52" s="35">
        <f t="shared" si="0"/>
        <v>0.95454545454545459</v>
      </c>
      <c r="L52" s="34">
        <f t="shared" si="1"/>
        <v>74.454545454545453</v>
      </c>
    </row>
    <row r="53" spans="1:12" ht="15.65" x14ac:dyDescent="0.25">
      <c r="A53" s="31" t="s">
        <v>126</v>
      </c>
      <c r="B53" s="32">
        <v>0</v>
      </c>
      <c r="C53" s="32">
        <v>0</v>
      </c>
      <c r="D53" s="33">
        <v>3</v>
      </c>
      <c r="E53" s="32"/>
      <c r="F53" s="32"/>
      <c r="G53" s="32"/>
      <c r="H53" s="32"/>
      <c r="I53" s="32">
        <v>3</v>
      </c>
      <c r="J53" s="32">
        <v>3</v>
      </c>
      <c r="K53" s="35">
        <f t="shared" si="0"/>
        <v>1</v>
      </c>
      <c r="L53" s="34">
        <f t="shared" si="1"/>
        <v>6</v>
      </c>
    </row>
    <row r="54" spans="1:12" ht="15.65" x14ac:dyDescent="0.25">
      <c r="A54" s="31" t="s">
        <v>127</v>
      </c>
      <c r="B54" s="32">
        <v>315</v>
      </c>
      <c r="C54" s="32">
        <v>201</v>
      </c>
      <c r="D54" s="33">
        <v>0</v>
      </c>
      <c r="E54" s="32"/>
      <c r="F54" s="32"/>
      <c r="G54" s="32"/>
      <c r="H54" s="32"/>
      <c r="I54" s="32">
        <v>2242</v>
      </c>
      <c r="J54" s="32">
        <v>2128</v>
      </c>
      <c r="K54" s="35">
        <f t="shared" si="0"/>
        <v>0.23015165031222123</v>
      </c>
      <c r="L54" s="34">
        <f t="shared" si="1"/>
        <v>1005.7627118644068</v>
      </c>
    </row>
    <row r="55" spans="1:12" ht="15.65" x14ac:dyDescent="0.25">
      <c r="A55" s="31" t="s">
        <v>128</v>
      </c>
      <c r="B55" s="32">
        <v>0</v>
      </c>
      <c r="C55" s="32">
        <v>3</v>
      </c>
      <c r="D55" s="33">
        <v>3</v>
      </c>
      <c r="E55" s="32"/>
      <c r="F55" s="32"/>
      <c r="G55" s="32"/>
      <c r="H55" s="32"/>
      <c r="I55" s="32">
        <v>38426</v>
      </c>
      <c r="J55" s="32">
        <v>38429</v>
      </c>
      <c r="K55" s="35">
        <f t="shared" si="0"/>
        <v>1.561442773122365E-4</v>
      </c>
      <c r="L55" s="34">
        <f t="shared" si="1"/>
        <v>12.000468432831937</v>
      </c>
    </row>
    <row r="56" spans="1:12" ht="15.65" x14ac:dyDescent="0.25">
      <c r="A56" s="31" t="s">
        <v>129</v>
      </c>
      <c r="B56" s="32">
        <v>1</v>
      </c>
      <c r="C56" s="32">
        <v>0</v>
      </c>
      <c r="D56" s="33">
        <v>6</v>
      </c>
      <c r="E56" s="32"/>
      <c r="F56" s="32"/>
      <c r="G56" s="32"/>
      <c r="H56" s="32"/>
      <c r="I56" s="32">
        <v>649</v>
      </c>
      <c r="J56" s="32">
        <v>648</v>
      </c>
      <c r="K56" s="35">
        <f t="shared" si="0"/>
        <v>1.078582434514638E-2</v>
      </c>
      <c r="L56" s="34">
        <f t="shared" si="1"/>
        <v>13.989214175654855</v>
      </c>
    </row>
    <row r="57" spans="1:12" ht="15.65" x14ac:dyDescent="0.25">
      <c r="A57" s="31" t="s">
        <v>97</v>
      </c>
      <c r="B57" s="32">
        <v>1</v>
      </c>
      <c r="C57" s="32">
        <v>20</v>
      </c>
      <c r="D57" s="33">
        <v>0</v>
      </c>
      <c r="E57" s="32"/>
      <c r="F57" s="32"/>
      <c r="G57" s="32"/>
      <c r="H57" s="32"/>
      <c r="I57" s="32">
        <v>483</v>
      </c>
      <c r="J57" s="32">
        <v>502</v>
      </c>
      <c r="K57" s="35">
        <f t="shared" si="0"/>
        <v>4.3478260869565216E-2</v>
      </c>
      <c r="L57" s="34">
        <f t="shared" si="1"/>
        <v>42.826086956521735</v>
      </c>
    </row>
    <row r="58" spans="1:12" ht="15.65" x14ac:dyDescent="0.25">
      <c r="A58" s="31"/>
      <c r="B58" s="32"/>
      <c r="C58" s="32"/>
      <c r="D58" s="33"/>
      <c r="E58" s="32"/>
      <c r="F58" s="32"/>
      <c r="G58" s="32"/>
      <c r="H58" s="32"/>
      <c r="I58" s="32"/>
      <c r="J58" s="32"/>
      <c r="K58" s="35" t="e">
        <f t="shared" si="0"/>
        <v>#DIV/0!</v>
      </c>
      <c r="L58" s="34" t="e">
        <f t="shared" si="1"/>
        <v>#DIV/0!</v>
      </c>
    </row>
    <row r="59" spans="1:12" ht="15.65" x14ac:dyDescent="0.25">
      <c r="B59" s="9">
        <f>SUM(Tableau3263034384219[Nombre de ligne du 
schéma A absente du B])</f>
        <v>110900</v>
      </c>
      <c r="C59" s="9">
        <f>SUM(Tableau3263034384219[Nombre de ligne du 
schéma B absente du A])</f>
        <v>1236222</v>
      </c>
      <c r="D59" s="9">
        <f>SUM(Tableau3263034384219[Nombre de lignes présentent 
dans les deux schémas 
mais ayant un contenu différent ])</f>
        <v>2082840</v>
      </c>
    </row>
  </sheetData>
  <mergeCells count="4">
    <mergeCell ref="A1:K1"/>
    <mergeCell ref="A7:K7"/>
    <mergeCell ref="A11:K11"/>
    <mergeCell ref="A15:K15"/>
  </mergeCells>
  <conditionalFormatting sqref="L9">
    <cfRule type="colorScale" priority="13">
      <colorScale>
        <cfvo type="min"/>
        <cfvo type="max"/>
        <color rgb="FFFCFCFF"/>
        <color rgb="FFF8696B"/>
      </colorScale>
    </cfRule>
  </conditionalFormatting>
  <conditionalFormatting sqref="L13">
    <cfRule type="colorScale" priority="14">
      <colorScale>
        <cfvo type="min"/>
        <cfvo type="max"/>
        <color rgb="FFFCFCFF"/>
        <color rgb="FFF8696B"/>
      </colorScale>
    </cfRule>
  </conditionalFormatting>
  <conditionalFormatting sqref="L17:L58">
    <cfRule type="colorScale" priority="1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0"/>
  <sheetViews>
    <sheetView tabSelected="1" topLeftCell="A4" workbookViewId="0">
      <selection activeCell="A6" sqref="A6:K6"/>
    </sheetView>
  </sheetViews>
  <sheetFormatPr baseColWidth="10" defaultRowHeight="12.9" x14ac:dyDescent="0.2"/>
  <cols>
    <col min="1" max="1" width="27.375" customWidth="1"/>
    <col min="2" max="2" width="22.25" style="6" bestFit="1" customWidth="1"/>
    <col min="3" max="3" width="22.25" bestFit="1" customWidth="1"/>
    <col min="4" max="4" width="22.25" customWidth="1"/>
    <col min="5" max="5" width="16" customWidth="1"/>
    <col min="6" max="6" width="16.875" bestFit="1" customWidth="1"/>
    <col min="7" max="10" width="13.625" customWidth="1"/>
    <col min="11" max="11" width="16.375" bestFit="1" customWidth="1"/>
    <col min="12" max="12" width="14.125" bestFit="1" customWidth="1"/>
  </cols>
  <sheetData>
    <row r="1" spans="1:12" ht="26.35" customHeight="1" x14ac:dyDescent="0.35">
      <c r="A1" s="38" t="s">
        <v>141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26"/>
    </row>
    <row r="2" spans="1:12" ht="12.75" customHeight="1" x14ac:dyDescent="0.2">
      <c r="D2" s="2"/>
      <c r="E2" s="2"/>
      <c r="F2" s="2"/>
      <c r="G2" s="2"/>
      <c r="H2" s="2"/>
      <c r="I2" s="2"/>
      <c r="J2" s="2"/>
      <c r="K2" s="2"/>
    </row>
    <row r="3" spans="1:12" ht="49.6" thickBot="1" x14ac:dyDescent="0.35">
      <c r="A3" s="14" t="s">
        <v>12</v>
      </c>
    </row>
    <row r="4" spans="1:12" ht="13.6" thickTop="1" x14ac:dyDescent="0.2">
      <c r="B4"/>
      <c r="C4" s="1"/>
      <c r="D4" s="3"/>
    </row>
    <row r="5" spans="1:12" x14ac:dyDescent="0.2">
      <c r="C5" s="1"/>
    </row>
    <row r="6" spans="1:12" ht="24.45" thickBot="1" x14ac:dyDescent="0.45">
      <c r="A6" s="37" t="s">
        <v>5</v>
      </c>
      <c r="B6" s="37"/>
      <c r="C6" s="37"/>
      <c r="D6" s="37"/>
      <c r="E6" s="37"/>
      <c r="F6" s="37"/>
      <c r="G6" s="37"/>
      <c r="H6" s="37"/>
      <c r="I6" s="37"/>
      <c r="J6" s="37"/>
      <c r="K6" s="37"/>
    </row>
    <row r="7" spans="1:12" ht="69.8" customHeight="1" thickTop="1" x14ac:dyDescent="0.2">
      <c r="A7" t="s">
        <v>2</v>
      </c>
      <c r="B7" s="21" t="s">
        <v>0</v>
      </c>
      <c r="C7" s="22" t="s">
        <v>1</v>
      </c>
      <c r="D7" s="23" t="s">
        <v>3</v>
      </c>
      <c r="E7" s="23" t="s">
        <v>6</v>
      </c>
      <c r="F7" s="23" t="s">
        <v>9</v>
      </c>
      <c r="G7" s="23" t="s">
        <v>7</v>
      </c>
      <c r="H7" s="23" t="s">
        <v>8</v>
      </c>
      <c r="I7" s="23" t="s">
        <v>4</v>
      </c>
      <c r="J7" s="23" t="s">
        <v>11</v>
      </c>
      <c r="K7" s="2" t="s">
        <v>10</v>
      </c>
      <c r="L7" t="s">
        <v>15</v>
      </c>
    </row>
    <row r="8" spans="1:12" ht="15.65" x14ac:dyDescent="0.25">
      <c r="A8" s="8"/>
      <c r="B8" s="9"/>
      <c r="C8" s="9"/>
      <c r="D8" s="10"/>
      <c r="E8" s="9"/>
      <c r="F8" s="9"/>
      <c r="G8" s="9"/>
      <c r="H8" s="9"/>
      <c r="I8" s="9"/>
      <c r="J8" s="9"/>
      <c r="K8" s="16" t="e">
        <f>(D8+C8+B8)/I8</f>
        <v>#DIV/0!</v>
      </c>
      <c r="L8" s="29" t="e">
        <f>(I8+J8)*K8</f>
        <v>#DIV/0!</v>
      </c>
    </row>
    <row r="9" spans="1:12" ht="15.65" x14ac:dyDescent="0.25">
      <c r="A9" s="8"/>
      <c r="B9" s="9">
        <f>SUM(Tableau328323640[Nombre de ligne du 
schéma A absente du B])+5</f>
        <v>5</v>
      </c>
      <c r="C9" s="9">
        <f>SUM(Tableau328323640[Nombre de ligne du 
schéma B absente du A])+4</f>
        <v>4</v>
      </c>
      <c r="D9" s="9">
        <f>SUM(Tableau328323640[Nombre de lignes présentent 
dans les deux schémas 
mais ayant un contenu différent ])+8</f>
        <v>8</v>
      </c>
      <c r="E9" s="9"/>
      <c r="F9" s="9"/>
      <c r="G9" s="12"/>
      <c r="H9" s="12"/>
      <c r="I9" s="12"/>
      <c r="J9" s="12"/>
      <c r="K9" s="15"/>
    </row>
    <row r="10" spans="1:12" ht="24.45" thickBot="1" x14ac:dyDescent="0.45">
      <c r="A10" s="37" t="s">
        <v>13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</row>
    <row r="11" spans="1:12" ht="65.25" thickTop="1" x14ac:dyDescent="0.2">
      <c r="A11" t="s">
        <v>2</v>
      </c>
      <c r="B11" s="7" t="s">
        <v>0</v>
      </c>
      <c r="C11" s="5" t="s">
        <v>1</v>
      </c>
      <c r="D11" s="4" t="s">
        <v>3</v>
      </c>
      <c r="E11" s="2" t="s">
        <v>6</v>
      </c>
      <c r="F11" s="2" t="s">
        <v>9</v>
      </c>
      <c r="G11" s="2" t="s">
        <v>7</v>
      </c>
      <c r="H11" s="2" t="s">
        <v>8</v>
      </c>
      <c r="I11" s="2" t="s">
        <v>4</v>
      </c>
      <c r="J11" s="2" t="s">
        <v>11</v>
      </c>
      <c r="K11" s="2" t="s">
        <v>10</v>
      </c>
      <c r="L11" t="s">
        <v>15</v>
      </c>
    </row>
    <row r="12" spans="1:12" ht="15.65" x14ac:dyDescent="0.25">
      <c r="A12" s="8"/>
      <c r="B12" s="9"/>
      <c r="C12" s="9"/>
      <c r="D12" s="10"/>
      <c r="E12" s="9"/>
      <c r="F12" s="9"/>
      <c r="G12" s="9"/>
      <c r="H12" s="9"/>
      <c r="I12" s="9"/>
      <c r="J12" s="9"/>
      <c r="K12" s="30" t="e">
        <f>(D12+C12+B12)/I12</f>
        <v>#DIV/0!</v>
      </c>
      <c r="L12" s="29" t="e">
        <f>(I12+J12)*K12</f>
        <v>#DIV/0!</v>
      </c>
    </row>
    <row r="13" spans="1:12" ht="15.65" x14ac:dyDescent="0.25">
      <c r="B13" s="9">
        <f>SUM(Tableau314161840729333741[Nombre de ligne du 
schéma A absente du B])+15</f>
        <v>15</v>
      </c>
      <c r="C13" s="9">
        <f>SUM(Tableau314161840729333741[Nombre de ligne du 
schéma B absente du A])+3</f>
        <v>3</v>
      </c>
      <c r="D13" s="9">
        <f>SUM(Tableau314161840729333741[Nombre de lignes présentent 
dans les deux schémas 
mais ayant un contenu différent ])+99</f>
        <v>99</v>
      </c>
    </row>
    <row r="14" spans="1:12" ht="24.45" thickBot="1" x14ac:dyDescent="0.45">
      <c r="A14" s="37" t="s">
        <v>14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</row>
    <row r="15" spans="1:12" ht="65.25" thickTop="1" x14ac:dyDescent="0.2">
      <c r="A15" t="s">
        <v>2</v>
      </c>
      <c r="B15" s="21" t="s">
        <v>0</v>
      </c>
      <c r="C15" s="22" t="s">
        <v>1</v>
      </c>
      <c r="D15" s="23" t="s">
        <v>3</v>
      </c>
      <c r="E15" s="23" t="s">
        <v>6</v>
      </c>
      <c r="F15" s="23" t="s">
        <v>9</v>
      </c>
      <c r="G15" s="23" t="s">
        <v>7</v>
      </c>
      <c r="H15" s="23" t="s">
        <v>8</v>
      </c>
      <c r="I15" s="23" t="s">
        <v>4</v>
      </c>
      <c r="J15" s="23" t="s">
        <v>11</v>
      </c>
      <c r="K15" s="2" t="s">
        <v>10</v>
      </c>
      <c r="L15" t="s">
        <v>15</v>
      </c>
    </row>
    <row r="16" spans="1:12" ht="15.65" x14ac:dyDescent="0.25">
      <c r="A16" s="8" t="s">
        <v>46</v>
      </c>
      <c r="B16" s="9">
        <v>26609</v>
      </c>
      <c r="C16" s="9">
        <v>6506924</v>
      </c>
      <c r="D16" s="10">
        <v>65</v>
      </c>
      <c r="E16" s="9">
        <v>40</v>
      </c>
      <c r="F16" s="9">
        <v>10755</v>
      </c>
      <c r="G16" s="12">
        <v>5</v>
      </c>
      <c r="H16" s="12">
        <v>10758</v>
      </c>
      <c r="I16" s="12">
        <v>8706981</v>
      </c>
      <c r="J16" s="12">
        <v>15187296</v>
      </c>
      <c r="K16" s="16">
        <f>(D16+C16+B16)/I16</f>
        <v>0.75038615566061306</v>
      </c>
      <c r="L16" s="29">
        <f>(I16+J16)*K16</f>
        <v>17929934.660319805</v>
      </c>
    </row>
    <row r="17" spans="1:12" ht="15.65" x14ac:dyDescent="0.25">
      <c r="A17" s="8" t="s">
        <v>43</v>
      </c>
      <c r="B17" s="9">
        <v>27782</v>
      </c>
      <c r="C17" s="9">
        <v>10171098</v>
      </c>
      <c r="D17" s="10">
        <v>0</v>
      </c>
      <c r="E17" s="9">
        <v>5228</v>
      </c>
      <c r="F17" s="9">
        <v>21047</v>
      </c>
      <c r="G17" s="9">
        <v>0</v>
      </c>
      <c r="H17" s="9">
        <v>21197</v>
      </c>
      <c r="I17" s="9">
        <v>27782</v>
      </c>
      <c r="J17" s="9">
        <v>10171098</v>
      </c>
      <c r="K17" s="16">
        <f>(D17+C17+B17)/I17</f>
        <v>367.10388021020805</v>
      </c>
      <c r="L17" s="29">
        <f>(I17+J17)*K17</f>
        <v>3744048421.7982864</v>
      </c>
    </row>
    <row r="18" spans="1:12" ht="15.65" x14ac:dyDescent="0.25">
      <c r="A18" s="8" t="s">
        <v>44</v>
      </c>
      <c r="B18" s="9">
        <v>0</v>
      </c>
      <c r="C18" s="9">
        <v>74680</v>
      </c>
      <c r="D18" s="10">
        <v>0</v>
      </c>
      <c r="E18" s="9"/>
      <c r="F18" s="9"/>
      <c r="G18" s="9"/>
      <c r="H18" s="9"/>
      <c r="I18" s="9">
        <v>307690</v>
      </c>
      <c r="J18" s="9">
        <v>382370</v>
      </c>
      <c r="K18" s="16">
        <f>(D18+C18+B18)/I18</f>
        <v>0.24271182033865255</v>
      </c>
      <c r="L18" s="29">
        <f>(I18+J18)*K18</f>
        <v>167485.71874289057</v>
      </c>
    </row>
    <row r="19" spans="1:12" ht="15.65" x14ac:dyDescent="0.25">
      <c r="A19" s="8"/>
      <c r="B19" s="9"/>
      <c r="C19" s="9"/>
      <c r="D19" s="10"/>
      <c r="E19" s="9"/>
      <c r="F19" s="9"/>
      <c r="G19" s="9"/>
      <c r="H19" s="9"/>
      <c r="I19" s="9"/>
      <c r="J19" s="9"/>
      <c r="K19" s="16" t="e">
        <f>(D19+C19+B19)/I19</f>
        <v>#DIV/0!</v>
      </c>
      <c r="L19" s="29" t="e">
        <f>(I19+J19)*K19</f>
        <v>#DIV/0!</v>
      </c>
    </row>
    <row r="20" spans="1:12" ht="15.65" x14ac:dyDescent="0.25">
      <c r="B20" s="9">
        <f>SUM(Tableau32630343842[Nombre de ligne du 
schéma A absente du B])</f>
        <v>54391</v>
      </c>
      <c r="C20" s="9">
        <f>SUM(Tableau32630343842[Nombre de ligne du 
schéma B absente du A])</f>
        <v>16752702</v>
      </c>
      <c r="D20" s="9">
        <f>SUM(Tableau32630343842[Nombre de lignes présentent 
dans les deux schémas 
mais ayant un contenu différent ])</f>
        <v>65</v>
      </c>
    </row>
  </sheetData>
  <mergeCells count="4">
    <mergeCell ref="A1:K1"/>
    <mergeCell ref="A6:K6"/>
    <mergeCell ref="A10:K10"/>
    <mergeCell ref="A14:K14"/>
  </mergeCells>
  <conditionalFormatting sqref="L16:L19">
    <cfRule type="colorScale" priority="3">
      <colorScale>
        <cfvo type="min"/>
        <cfvo type="max"/>
        <color rgb="FFFCFCFF"/>
        <color rgb="FFF8696B"/>
      </colorScale>
    </cfRule>
  </conditionalFormatting>
  <conditionalFormatting sqref="L8">
    <cfRule type="colorScale" priority="16">
      <colorScale>
        <cfvo type="min"/>
        <cfvo type="max"/>
        <color rgb="FFFCFCFF"/>
        <color rgb="FFF8696B"/>
      </colorScale>
    </cfRule>
  </conditionalFormatting>
  <conditionalFormatting sqref="L1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</vt:lpstr>
      <vt:lpstr>DC</vt:lpstr>
      <vt:lpstr>DE</vt:lpstr>
      <vt:lpstr>DS</vt:lpstr>
      <vt:lpstr>GX</vt:lpstr>
      <vt:lpstr>DX</vt:lpstr>
    </vt:vector>
  </TitlesOfParts>
  <Company>8°RT-Ministère de la Défense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projet-louvois</dc:creator>
  <cp:lastModifiedBy>thibaut</cp:lastModifiedBy>
  <cp:lastPrinted>2016-11-17T20:58:17Z</cp:lastPrinted>
  <dcterms:created xsi:type="dcterms:W3CDTF">2012-03-06T14:55:24Z</dcterms:created>
  <dcterms:modified xsi:type="dcterms:W3CDTF">2020-04-21T14:54:04Z</dcterms:modified>
</cp:coreProperties>
</file>