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 Lai\Desktop\"/>
    </mc:Choice>
  </mc:AlternateContent>
  <xr:revisionPtr revIDLastSave="0" documentId="13_ncr:1_{F39CC763-3CEE-46A8-BCF8-579AC97FB5E3}" xr6:coauthVersionLast="47" xr6:coauthVersionMax="47" xr10:uidLastSave="{00000000-0000-0000-0000-000000000000}"/>
  <bookViews>
    <workbookView xWindow="-120" yWindow="-120" windowWidth="20730" windowHeight="11040" activeTab="5" xr2:uid="{CC196247-E5D6-4852-BAE2-A788DB7BBD2A}"/>
  </bookViews>
  <sheets>
    <sheet name="Lương" sheetId="1" r:id="rId1"/>
    <sheet name="Vốn" sheetId="2" r:id="rId2"/>
    <sheet name="Bảng giá" sheetId="3" r:id="rId3"/>
    <sheet name="Marketting" sheetId="5" r:id="rId4"/>
    <sheet name="Lợi nhuận" sheetId="4" r:id="rId5"/>
    <sheet name="Lưu chuyển tiền mặ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7" i="5"/>
  <c r="C12" i="5"/>
  <c r="D21" i="6"/>
  <c r="E21" i="6"/>
  <c r="F21" i="6"/>
  <c r="G21" i="6"/>
  <c r="H21" i="6"/>
  <c r="I21" i="6"/>
  <c r="J21" i="6"/>
  <c r="K21" i="6"/>
  <c r="L21" i="6"/>
  <c r="M21" i="6"/>
  <c r="N21" i="6"/>
  <c r="O21" i="6"/>
  <c r="C21" i="6"/>
  <c r="C22" i="6" s="1"/>
  <c r="D3" i="6" s="1"/>
  <c r="D6" i="6" s="1"/>
  <c r="G41" i="2"/>
  <c r="C6" i="6"/>
  <c r="B6" i="5"/>
  <c r="B2" i="5"/>
  <c r="M18" i="4"/>
  <c r="L18" i="4"/>
  <c r="K18" i="4"/>
  <c r="C21" i="4"/>
  <c r="D21" i="4"/>
  <c r="E21" i="4"/>
  <c r="F21" i="4"/>
  <c r="G21" i="4"/>
  <c r="H21" i="4"/>
  <c r="I21" i="4"/>
  <c r="J21" i="4"/>
  <c r="K21" i="4"/>
  <c r="L21" i="4"/>
  <c r="M21" i="4"/>
  <c r="B21" i="4"/>
  <c r="B42" i="2"/>
  <c r="D42" i="2" s="1"/>
  <c r="E42" i="2" s="1"/>
  <c r="B41" i="2"/>
  <c r="D41" i="2" s="1"/>
  <c r="B12" i="5" l="1"/>
  <c r="D22" i="6"/>
  <c r="E3" i="6" s="1"/>
  <c r="E6" i="6" s="1"/>
  <c r="E22" i="6" s="1"/>
  <c r="F3" i="6" s="1"/>
  <c r="F6" i="6" s="1"/>
  <c r="F22" i="6" s="1"/>
  <c r="G3" i="6" s="1"/>
  <c r="G6" i="6" s="1"/>
  <c r="G22" i="6" s="1"/>
  <c r="H3" i="6" s="1"/>
  <c r="H6" i="6" s="1"/>
  <c r="H22" i="6" s="1"/>
  <c r="I3" i="6" s="1"/>
  <c r="I6" i="6" s="1"/>
  <c r="I22" i="6" s="1"/>
  <c r="J3" i="6" s="1"/>
  <c r="J6" i="6" s="1"/>
  <c r="J22" i="6" s="1"/>
  <c r="K3" i="6" s="1"/>
  <c r="K6" i="6" s="1"/>
  <c r="K22" i="6" s="1"/>
  <c r="L3" i="6" s="1"/>
  <c r="L6" i="6" s="1"/>
  <c r="L22" i="6" s="1"/>
  <c r="M3" i="6" s="1"/>
  <c r="M6" i="6" s="1"/>
  <c r="M22" i="6" s="1"/>
  <c r="N3" i="6" s="1"/>
  <c r="N6" i="6" s="1"/>
  <c r="N22" i="6" s="1"/>
  <c r="O3" i="6" s="1"/>
  <c r="O6" i="6" s="1"/>
  <c r="O22" i="6" s="1"/>
  <c r="D43" i="2"/>
  <c r="E43" i="2" s="1"/>
  <c r="E41" i="2"/>
  <c r="H18" i="4"/>
  <c r="I18" i="4"/>
  <c r="G18" i="4"/>
  <c r="J18" i="4"/>
  <c r="F18" i="4"/>
  <c r="E18" i="4"/>
  <c r="D18" i="4"/>
  <c r="G44" i="3"/>
  <c r="C44" i="3"/>
  <c r="C48" i="3" s="1"/>
  <c r="C22" i="4"/>
  <c r="D22" i="4"/>
  <c r="E22" i="4"/>
  <c r="F22" i="4"/>
  <c r="G22" i="4"/>
  <c r="H22" i="4"/>
  <c r="I22" i="4"/>
  <c r="J22" i="4"/>
  <c r="K22" i="4"/>
  <c r="L22" i="4"/>
  <c r="M22" i="4"/>
  <c r="C18" i="4"/>
  <c r="B18" i="4"/>
  <c r="C46" i="3"/>
  <c r="C37" i="3"/>
  <c r="D37" i="3"/>
  <c r="E37" i="3"/>
  <c r="F37" i="3"/>
  <c r="G37" i="3"/>
  <c r="B37" i="3"/>
  <c r="C27" i="3"/>
  <c r="D27" i="3"/>
  <c r="E27" i="3"/>
  <c r="F27" i="3"/>
  <c r="G27" i="3"/>
  <c r="H27" i="3"/>
  <c r="I27" i="3"/>
  <c r="J27" i="3"/>
  <c r="K27" i="3"/>
  <c r="L27" i="3"/>
  <c r="M27" i="3"/>
  <c r="N27" i="3"/>
  <c r="B27" i="3"/>
  <c r="B6" i="3"/>
  <c r="G6" i="3"/>
  <c r="F6" i="3"/>
  <c r="C16" i="3"/>
  <c r="I6" i="3"/>
  <c r="H6" i="3"/>
  <c r="D6" i="3"/>
  <c r="C6" i="3"/>
  <c r="C19" i="3"/>
  <c r="D19" i="3"/>
  <c r="E19" i="3"/>
  <c r="F19" i="3"/>
  <c r="G19" i="3"/>
  <c r="B19" i="3"/>
  <c r="B9" i="3"/>
  <c r="C9" i="3"/>
  <c r="D9" i="3"/>
  <c r="E9" i="3"/>
  <c r="F9" i="3"/>
  <c r="G9" i="3"/>
  <c r="H9" i="3"/>
  <c r="I9" i="3"/>
  <c r="J9" i="3"/>
  <c r="K9" i="3"/>
  <c r="L9" i="3"/>
  <c r="M9" i="3"/>
  <c r="N9" i="3"/>
  <c r="C30" i="3"/>
  <c r="D30" i="3"/>
  <c r="E30" i="3"/>
  <c r="F30" i="3"/>
  <c r="G30" i="3"/>
  <c r="H30" i="3"/>
  <c r="I30" i="3"/>
  <c r="J30" i="3"/>
  <c r="K30" i="3"/>
  <c r="L30" i="3"/>
  <c r="M30" i="3"/>
  <c r="N30" i="3"/>
  <c r="B30" i="3"/>
  <c r="B40" i="3"/>
  <c r="C40" i="3"/>
  <c r="D40" i="3"/>
  <c r="E40" i="3"/>
  <c r="F40" i="3"/>
  <c r="G40" i="3"/>
  <c r="B22" i="4" l="1"/>
  <c r="F41" i="3"/>
  <c r="G41" i="3"/>
  <c r="F36" i="3"/>
  <c r="G36" i="3"/>
  <c r="G39" i="3" s="1"/>
  <c r="F20" i="3"/>
  <c r="G15" i="3"/>
  <c r="G18" i="3" s="1"/>
  <c r="F15" i="3"/>
  <c r="F18" i="3" s="1"/>
  <c r="E20" i="3"/>
  <c r="E41" i="3"/>
  <c r="E36" i="3"/>
  <c r="E15" i="3"/>
  <c r="E18" i="3" s="1"/>
  <c r="C39" i="3"/>
  <c r="D39" i="3"/>
  <c r="E39" i="3"/>
  <c r="F39" i="3"/>
  <c r="B39" i="3"/>
  <c r="C29" i="3"/>
  <c r="D29" i="3"/>
  <c r="E29" i="3"/>
  <c r="F29" i="3"/>
  <c r="G29" i="3"/>
  <c r="H29" i="3"/>
  <c r="I29" i="3"/>
  <c r="J29" i="3"/>
  <c r="K29" i="3"/>
  <c r="L29" i="3"/>
  <c r="M29" i="3"/>
  <c r="N29" i="3"/>
  <c r="B29" i="3"/>
  <c r="D16" i="3"/>
  <c r="B16" i="3"/>
  <c r="N6" i="3"/>
  <c r="M6" i="3"/>
  <c r="L6" i="3"/>
  <c r="K6" i="3"/>
  <c r="J6" i="3"/>
  <c r="E6" i="3"/>
  <c r="D36" i="3"/>
  <c r="C36" i="3"/>
  <c r="B36" i="3"/>
  <c r="B41" i="3" s="1"/>
  <c r="N26" i="3"/>
  <c r="M26" i="3"/>
  <c r="M31" i="3" s="1"/>
  <c r="L26" i="3"/>
  <c r="K26" i="3"/>
  <c r="J26" i="3"/>
  <c r="I26" i="3"/>
  <c r="H26" i="3"/>
  <c r="G26" i="3"/>
  <c r="G31" i="3" s="1"/>
  <c r="F26" i="3"/>
  <c r="E26" i="3"/>
  <c r="E31" i="3" s="1"/>
  <c r="D26" i="3"/>
  <c r="C26" i="3"/>
  <c r="B26" i="3"/>
  <c r="B15" i="3"/>
  <c r="B20" i="3" s="1"/>
  <c r="C15" i="3"/>
  <c r="D15" i="3"/>
  <c r="G5" i="3"/>
  <c r="H5" i="3"/>
  <c r="I5" i="3"/>
  <c r="I10" i="3" s="1"/>
  <c r="J5" i="3"/>
  <c r="K5" i="3"/>
  <c r="L5" i="3"/>
  <c r="M5" i="3"/>
  <c r="M10" i="3" s="1"/>
  <c r="N5" i="3"/>
  <c r="F5" i="3"/>
  <c r="E5" i="3"/>
  <c r="D5" i="3"/>
  <c r="B5" i="3"/>
  <c r="C5" i="3"/>
  <c r="G20" i="3" l="1"/>
  <c r="I31" i="3"/>
  <c r="D41" i="3"/>
  <c r="C8" i="3"/>
  <c r="K8" i="3"/>
  <c r="E8" i="3"/>
  <c r="D20" i="3"/>
  <c r="C18" i="3"/>
  <c r="C10" i="3"/>
  <c r="K10" i="3"/>
  <c r="B18" i="3"/>
  <c r="B10" i="3"/>
  <c r="C20" i="3"/>
  <c r="H31" i="3"/>
  <c r="C41" i="3"/>
  <c r="L10" i="3"/>
  <c r="C31" i="3"/>
  <c r="K31" i="3"/>
  <c r="J8" i="3"/>
  <c r="B31" i="3"/>
  <c r="D18" i="3"/>
  <c r="N31" i="3"/>
  <c r="I8" i="3"/>
  <c r="H8" i="3"/>
  <c r="J10" i="3"/>
  <c r="D10" i="3"/>
  <c r="B8" i="3"/>
  <c r="G8" i="3"/>
  <c r="E10" i="3"/>
  <c r="J31" i="3"/>
  <c r="N8" i="3"/>
  <c r="F8" i="3"/>
  <c r="M8" i="3"/>
  <c r="D31" i="3"/>
  <c r="L31" i="3"/>
  <c r="L8" i="3"/>
  <c r="D8" i="3"/>
  <c r="H10" i="3"/>
  <c r="F31" i="3"/>
  <c r="F10" i="3"/>
  <c r="G10" i="3"/>
  <c r="N10" i="3"/>
  <c r="G26" i="2"/>
  <c r="G22" i="2"/>
  <c r="G23" i="2"/>
  <c r="G24" i="2"/>
  <c r="G25" i="2"/>
  <c r="G21" i="2"/>
  <c r="F13" i="2"/>
  <c r="G11" i="2"/>
  <c r="G12" i="2"/>
  <c r="G13" i="2"/>
  <c r="G14" i="2"/>
  <c r="G15" i="2"/>
  <c r="G16" i="2"/>
  <c r="G7" i="2"/>
  <c r="G10" i="2"/>
  <c r="G8" i="2"/>
  <c r="G5" i="2"/>
  <c r="G6" i="2"/>
  <c r="G4" i="2"/>
  <c r="F8" i="2"/>
  <c r="F13" i="1"/>
  <c r="M12" i="1"/>
  <c r="M6" i="1"/>
  <c r="M7" i="1"/>
  <c r="M8" i="1"/>
  <c r="M9" i="1"/>
  <c r="M10" i="1"/>
  <c r="M11" i="1"/>
  <c r="M5" i="1"/>
  <c r="D12" i="1"/>
  <c r="L12" i="1"/>
  <c r="H12" i="1"/>
  <c r="H4" i="1"/>
  <c r="L6" i="1"/>
  <c r="L7" i="1"/>
  <c r="L8" i="1"/>
  <c r="L9" i="1"/>
  <c r="L10" i="1"/>
  <c r="L11" i="1"/>
  <c r="L5" i="1"/>
  <c r="K6" i="1"/>
  <c r="K7" i="1"/>
  <c r="K8" i="1"/>
  <c r="K9" i="1"/>
  <c r="K10" i="1"/>
  <c r="K11" i="1"/>
  <c r="K5" i="1"/>
  <c r="J11" i="1"/>
  <c r="J10" i="1"/>
  <c r="J9" i="1"/>
  <c r="J8" i="1"/>
  <c r="J7" i="1"/>
  <c r="J6" i="1"/>
  <c r="J5" i="1"/>
  <c r="I11" i="1"/>
  <c r="I10" i="1"/>
  <c r="I9" i="1"/>
  <c r="I8" i="1"/>
  <c r="I7" i="1"/>
  <c r="I6" i="1"/>
  <c r="I5" i="1"/>
  <c r="H6" i="1"/>
  <c r="H7" i="1"/>
  <c r="H8" i="1"/>
  <c r="H9" i="1"/>
  <c r="H10" i="1"/>
  <c r="H11" i="1"/>
  <c r="H5" i="1"/>
  <c r="G11" i="1"/>
  <c r="G10" i="1"/>
  <c r="G9" i="1"/>
  <c r="G8" i="1"/>
  <c r="G7" i="1"/>
  <c r="G6" i="1"/>
  <c r="G5" i="1"/>
  <c r="F11" i="1"/>
  <c r="F10" i="1"/>
  <c r="F9" i="1"/>
  <c r="F8" i="1"/>
  <c r="F7" i="1"/>
  <c r="F6" i="1"/>
  <c r="F5" i="1"/>
  <c r="E11" i="1"/>
  <c r="E10" i="1"/>
  <c r="E9" i="1"/>
  <c r="E8" i="1"/>
  <c r="E7" i="1"/>
  <c r="E6" i="1"/>
  <c r="E5" i="1"/>
  <c r="C8" i="1"/>
  <c r="C10" i="1"/>
  <c r="C7" i="1"/>
  <c r="G46" i="3" l="1"/>
  <c r="G38" i="2"/>
</calcChain>
</file>

<file path=xl/sharedStrings.xml><?xml version="1.0" encoding="utf-8"?>
<sst xmlns="http://schemas.openxmlformats.org/spreadsheetml/2006/main" count="237" uniqueCount="137">
  <si>
    <t>Lương</t>
  </si>
  <si>
    <t>Nhân Viên</t>
  </si>
  <si>
    <t>Trình Thanh Phong</t>
  </si>
  <si>
    <t>Nguyễn Vũ Việt Triều</t>
  </si>
  <si>
    <t>Lê Thị Diễm Phiên</t>
  </si>
  <si>
    <t>Nguyễn Thiên Nhật</t>
  </si>
  <si>
    <t>Trương Thế Toàn</t>
  </si>
  <si>
    <t>Trần Phước Đại Phong</t>
  </si>
  <si>
    <t>Trịnh Trọng Phong</t>
  </si>
  <si>
    <t>Họ Và Tên</t>
  </si>
  <si>
    <t>Chức vụ</t>
  </si>
  <si>
    <t>Lương Cơ Bản</t>
  </si>
  <si>
    <t>Lương Thỏa Thuận</t>
  </si>
  <si>
    <t>Chủ quán</t>
  </si>
  <si>
    <t>Nhân viên Marketing</t>
  </si>
  <si>
    <t>Quản Lý</t>
  </si>
  <si>
    <t>BH Xã hội</t>
  </si>
  <si>
    <t>BH Y Tế</t>
  </si>
  <si>
    <t>BH Thất Nghiệp</t>
  </si>
  <si>
    <t>Tổng</t>
  </si>
  <si>
    <t>Bảo Vệ</t>
  </si>
  <si>
    <t>Nhân Viên Phục Vụ(FT)</t>
  </si>
  <si>
    <t>Nhân Viên Phục Vụ(PT)</t>
  </si>
  <si>
    <t>Lương thực nhận</t>
  </si>
  <si>
    <t>Doanh nghiệp đóng</t>
  </si>
  <si>
    <t>Nhân viên đóng</t>
  </si>
  <si>
    <t>Tổng chi trả</t>
  </si>
  <si>
    <t>Vốn</t>
  </si>
  <si>
    <t>Nguồn</t>
  </si>
  <si>
    <t>Combocaphelon</t>
  </si>
  <si>
    <t>Chi phí</t>
  </si>
  <si>
    <t>Máy xay cafe Mazzer</t>
  </si>
  <si>
    <t>Máy pha cafe Nuova</t>
  </si>
  <si>
    <t>Bộ dụng cụ pha 5 món</t>
  </si>
  <si>
    <t>Training cafe pha máy</t>
  </si>
  <si>
    <t>Cafe</t>
  </si>
  <si>
    <t>Giảm 25%</t>
  </si>
  <si>
    <t>Nội Thất</t>
  </si>
  <si>
    <t>Bàn</t>
  </si>
  <si>
    <t>Ghế</t>
  </si>
  <si>
    <t>Quạt</t>
  </si>
  <si>
    <t>Số Lượng</t>
  </si>
  <si>
    <t>Kệ ( Đồ , giày dép)</t>
  </si>
  <si>
    <t>Tủ Đồ</t>
  </si>
  <si>
    <t>Noithathoaphat3</t>
  </si>
  <si>
    <t>Điện chợ lớn</t>
  </si>
  <si>
    <t>Cửa Kính(10m2,15mm)</t>
  </si>
  <si>
    <t>noithathungduc</t>
  </si>
  <si>
    <t>vinaoffice</t>
  </si>
  <si>
    <t>Nội thất Nhi Hà</t>
  </si>
  <si>
    <t>Decor(30m2)</t>
  </si>
  <si>
    <t>nhadepdecord</t>
  </si>
  <si>
    <t>Mèo</t>
  </si>
  <si>
    <t>Nguyên Liệu</t>
  </si>
  <si>
    <t>phacheviet</t>
  </si>
  <si>
    <t>giấy phép kinh doanh &amp; an toàn thực phẩm</t>
  </si>
  <si>
    <t>điện nước</t>
  </si>
  <si>
    <t>Chi phí phát sinh</t>
  </si>
  <si>
    <t>Rác</t>
  </si>
  <si>
    <t>Mặt bằng</t>
  </si>
  <si>
    <t>Internet</t>
  </si>
  <si>
    <t>Marketing</t>
  </si>
  <si>
    <t>Mèo Munchkin(Chân ngắn) lông xám</t>
  </si>
  <si>
    <t>Mèo Bengal</t>
  </si>
  <si>
    <t>Mèo Maine Coon(Mỹ lông dài)</t>
  </si>
  <si>
    <t>Mèo Anh lông dài</t>
  </si>
  <si>
    <t xml:space="preserve">Mèo Anh lông ngắn </t>
  </si>
  <si>
    <t>Đồ ăn cho thú cưng</t>
  </si>
  <si>
    <t>dogilypetshop</t>
  </si>
  <si>
    <t>Vệ sinh thú cưng</t>
  </si>
  <si>
    <t>Chăm sóc thú cưng</t>
  </si>
  <si>
    <t>petmart</t>
  </si>
  <si>
    <t>Danh mục</t>
  </si>
  <si>
    <t>Tháng</t>
  </si>
  <si>
    <t>Lượng sản phẩm</t>
  </si>
  <si>
    <t>Chi nguyên liệu</t>
  </si>
  <si>
    <t>Tổng chi</t>
  </si>
  <si>
    <t>Đơn giá</t>
  </si>
  <si>
    <t>Tổng giá trị</t>
  </si>
  <si>
    <t>Cafe đen</t>
  </si>
  <si>
    <t>cà phê sữa</t>
  </si>
  <si>
    <t>Bạc Xỉu</t>
  </si>
  <si>
    <t xml:space="preserve">Nước ép cam </t>
  </si>
  <si>
    <t>Nước ép thơm</t>
  </si>
  <si>
    <t>Nước ép ổi</t>
  </si>
  <si>
    <t>Nước ép cóc</t>
  </si>
  <si>
    <t>Nước ép cà rốt</t>
  </si>
  <si>
    <t>Sinh tố dâu</t>
  </si>
  <si>
    <t>Sinh tố bơ</t>
  </si>
  <si>
    <t>Sinh số sapoche</t>
  </si>
  <si>
    <t>Trà chanh</t>
  </si>
  <si>
    <t>Trà hoa hồng</t>
  </si>
  <si>
    <t>Trà vải</t>
  </si>
  <si>
    <t>Trà đào sả</t>
  </si>
  <si>
    <t>Sữa tươi cafe</t>
  </si>
  <si>
    <t>Số lượng bán ra</t>
  </si>
  <si>
    <t>Tổng Thu Nhập</t>
  </si>
  <si>
    <t>Thu nhập hàng tháng</t>
  </si>
  <si>
    <t>Thu nhập hàng tháng cafe với mèo</t>
  </si>
  <si>
    <t>Tổng thu nhập hàng tháng</t>
  </si>
  <si>
    <t>Hạng mục</t>
  </si>
  <si>
    <t>Doanh thu bán hàng</t>
  </si>
  <si>
    <t>Tổng chi phí</t>
  </si>
  <si>
    <t>Tháng 7</t>
  </si>
  <si>
    <t>Trà sữa truyền thống</t>
  </si>
  <si>
    <t>Trà sữa hoa hồng</t>
  </si>
  <si>
    <t>Trà sữa việt quất</t>
  </si>
  <si>
    <t>Tổng chi nguyên liệu</t>
  </si>
  <si>
    <t>Đơn giá chi nguyên liệu</t>
  </si>
  <si>
    <t>Lợi nhuận</t>
  </si>
  <si>
    <t>Ly</t>
  </si>
  <si>
    <t>Khấu Hao</t>
  </si>
  <si>
    <t>Số năm</t>
  </si>
  <si>
    <t>Khấu hao/ năm</t>
  </si>
  <si>
    <t>Khấu hao / tháng</t>
  </si>
  <si>
    <t>Thiết bị &amp; nội thất</t>
  </si>
  <si>
    <t>Thu</t>
  </si>
  <si>
    <t>Dư tiền mặt đầu tháng</t>
  </si>
  <si>
    <t>Doanh thu bằng tiền mặt</t>
  </si>
  <si>
    <t>Thu khác</t>
  </si>
  <si>
    <t>Chi</t>
  </si>
  <si>
    <t>Dư tiền mặt cuối tháng</t>
  </si>
  <si>
    <t>Các chi phí khác</t>
  </si>
  <si>
    <t>Kế hoạch Marketing  CATFEE</t>
  </si>
  <si>
    <t>poster /1500</t>
  </si>
  <si>
    <t>banner</t>
  </si>
  <si>
    <t>băng rôn</t>
  </si>
  <si>
    <t>bảng hiệu</t>
  </si>
  <si>
    <t>1/ mua  2 tặng một với đồ uống café</t>
  </si>
  <si>
    <t xml:space="preserve">2/ sale 30% </t>
  </si>
  <si>
    <t>3/ tặng voucher ghé lần sau 20%</t>
  </si>
  <si>
    <t>quảng cáo trên fb gg tiktok : 1000k/ ngày</t>
  </si>
  <si>
    <t xml:space="preserve">quản lý page fb tiktok : </t>
  </si>
  <si>
    <t>KOL review tháng đầu</t>
  </si>
  <si>
    <t>Thiết bị &amp; Mèo</t>
  </si>
  <si>
    <t>THÁNG sau khai trương</t>
  </si>
  <si>
    <t>Tháng đầu khai trương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</si>
</sst>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₫&quot;;[Red]\-#,##0.00\ &quot;₫&quot;"/>
    <numFmt numFmtId="44" formatCode="_-* #,##0.00\ &quot;₫&quot;_-;\-* #,##0.00\ &quot;₫&quot;_-;_-* &quot;-&quot;??\ &quot;₫&quot;_-;_-@_-"/>
    <numFmt numFmtId="164" formatCode="_-* #,##0.00\ [$₫-42A]_-;\-* #,##0.00\ [$₫-42A]_-;_-* &quot;-&quot;??\ [$₫-42A]_-;_-@_-"/>
    <numFmt numFmtId="165" formatCode="_-* #,##0\ &quot;₫&quot;_-;\-* #,##0\ &quot;₫&quot;_-;_-* &quot;-&quot;??\ &quot;₫&quot;_-;_-@_-"/>
  </numFmts>
  <fonts count="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  <font>
      <sz val="10"/>
      <color rgb="FF202124"/>
      <name val="Roboto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44" fontId="0" fillId="0" borderId="1" xfId="1" applyFont="1" applyBorder="1"/>
    <xf numFmtId="10" fontId="0" fillId="0" borderId="1" xfId="1" applyNumberFormat="1" applyFont="1" applyBorder="1"/>
    <xf numFmtId="10" fontId="2" fillId="0" borderId="1" xfId="1" applyNumberFormat="1" applyFont="1" applyBorder="1"/>
    <xf numFmtId="44" fontId="2" fillId="0" borderId="1" xfId="1" applyFont="1" applyBorder="1"/>
    <xf numFmtId="44" fontId="3" fillId="3" borderId="1" xfId="1" applyFont="1" applyFill="1" applyBorder="1"/>
    <xf numFmtId="44" fontId="3" fillId="2" borderId="1" xfId="1" applyFont="1" applyFill="1" applyBorder="1"/>
    <xf numFmtId="44" fontId="2" fillId="0" borderId="3" xfId="1" applyFont="1" applyBorder="1"/>
    <xf numFmtId="44" fontId="0" fillId="0" borderId="0" xfId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0" xfId="0" applyBorder="1"/>
    <xf numFmtId="0" fontId="0" fillId="0" borderId="3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1" xfId="0" applyBorder="1" applyAlignment="1"/>
    <xf numFmtId="44" fontId="0" fillId="0" borderId="0" xfId="1" applyFont="1"/>
    <xf numFmtId="0" fontId="0" fillId="0" borderId="0" xfId="0" applyAlignment="1">
      <alignment vertical="center"/>
    </xf>
    <xf numFmtId="0" fontId="0" fillId="5" borderId="1" xfId="0" applyFill="1" applyBorder="1"/>
    <xf numFmtId="164" fontId="0" fillId="0" borderId="1" xfId="0" applyNumberFormat="1" applyBorder="1"/>
    <xf numFmtId="164" fontId="2" fillId="7" borderId="1" xfId="0" applyNumberFormat="1" applyFont="1" applyFill="1" applyBorder="1"/>
    <xf numFmtId="0" fontId="0" fillId="0" borderId="1" xfId="0" applyNumberFormat="1" applyBorder="1"/>
    <xf numFmtId="0" fontId="0" fillId="0" borderId="1" xfId="1" applyNumberFormat="1" applyFont="1" applyBorder="1"/>
    <xf numFmtId="0" fontId="0" fillId="0" borderId="4" xfId="0" applyBorder="1"/>
    <xf numFmtId="164" fontId="0" fillId="0" borderId="4" xfId="0" applyNumberFormat="1" applyBorder="1"/>
    <xf numFmtId="0" fontId="0" fillId="0" borderId="4" xfId="0" applyNumberFormat="1" applyBorder="1"/>
    <xf numFmtId="164" fontId="2" fillId="0" borderId="4" xfId="0" applyNumberFormat="1" applyFont="1" applyBorder="1"/>
    <xf numFmtId="0" fontId="0" fillId="0" borderId="6" xfId="0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4" borderId="1" xfId="0" applyNumberFormat="1" applyFill="1" applyBorder="1"/>
    <xf numFmtId="164" fontId="2" fillId="8" borderId="1" xfId="0" applyNumberFormat="1" applyFont="1" applyFill="1" applyBorder="1"/>
    <xf numFmtId="164" fontId="2" fillId="8" borderId="4" xfId="0" applyNumberFormat="1" applyFont="1" applyFill="1" applyBorder="1"/>
    <xf numFmtId="44" fontId="0" fillId="4" borderId="1" xfId="1" applyFont="1" applyFill="1" applyBorder="1"/>
    <xf numFmtId="44" fontId="2" fillId="8" borderId="1" xfId="1" applyFont="1" applyFill="1" applyBorder="1"/>
    <xf numFmtId="0" fontId="0" fillId="4" borderId="1" xfId="0" applyFill="1" applyBorder="1"/>
    <xf numFmtId="44" fontId="0" fillId="0" borderId="1" xfId="0" applyNumberFormat="1" applyBorder="1"/>
    <xf numFmtId="0" fontId="0" fillId="0" borderId="1" xfId="0" applyFont="1" applyFill="1" applyBorder="1"/>
    <xf numFmtId="44" fontId="0" fillId="0" borderId="1" xfId="1" applyFont="1" applyFill="1" applyBorder="1"/>
    <xf numFmtId="165" fontId="0" fillId="0" borderId="1" xfId="0" applyNumberFormat="1" applyBorder="1"/>
    <xf numFmtId="165" fontId="0" fillId="5" borderId="1" xfId="0" applyNumberFormat="1" applyFill="1" applyBorder="1"/>
    <xf numFmtId="165" fontId="0" fillId="0" borderId="0" xfId="0" applyNumberFormat="1"/>
    <xf numFmtId="0" fontId="0" fillId="2" borderId="1" xfId="0" applyFill="1" applyBorder="1"/>
    <xf numFmtId="44" fontId="5" fillId="0" borderId="1" xfId="1" applyFont="1" applyBorder="1"/>
    <xf numFmtId="8" fontId="5" fillId="0" borderId="1" xfId="0" applyNumberFormat="1" applyFont="1" applyBorder="1"/>
    <xf numFmtId="0" fontId="7" fillId="4" borderId="1" xfId="0" applyFont="1" applyFill="1" applyBorder="1"/>
    <xf numFmtId="44" fontId="7" fillId="4" borderId="1" xfId="1" applyFont="1" applyFill="1" applyBorder="1"/>
    <xf numFmtId="44" fontId="3" fillId="9" borderId="1" xfId="1" applyFont="1" applyFill="1" applyBorder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/>
    <xf numFmtId="0" fontId="3" fillId="2" borderId="1" xfId="0" applyFont="1" applyFill="1" applyBorder="1"/>
    <xf numFmtId="44" fontId="2" fillId="9" borderId="1" xfId="0" applyNumberFormat="1" applyFont="1" applyFill="1" applyBorder="1"/>
    <xf numFmtId="44" fontId="0" fillId="4" borderId="1" xfId="1" applyFont="1" applyFill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F44-2F26-402C-9B9C-ED5B3A83BBE9}">
  <dimension ref="A1:M13"/>
  <sheetViews>
    <sheetView zoomScaleNormal="100" workbookViewId="0">
      <selection activeCell="B5" sqref="B5:B11"/>
    </sheetView>
  </sheetViews>
  <sheetFormatPr defaultColWidth="15.7109375" defaultRowHeight="15" x14ac:dyDescent="0.25"/>
  <cols>
    <col min="1" max="1" width="20.5703125" bestFit="1" customWidth="1"/>
    <col min="2" max="2" width="21.7109375" bestFit="1" customWidth="1"/>
    <col min="3" max="3" width="15.85546875" bestFit="1" customWidth="1"/>
    <col min="4" max="4" width="17.5703125" bestFit="1" customWidth="1"/>
    <col min="5" max="5" width="14.85546875" bestFit="1" customWidth="1"/>
    <col min="6" max="6" width="13.28515625" bestFit="1" customWidth="1"/>
    <col min="7" max="7" width="14.85546875" bestFit="1" customWidth="1"/>
    <col min="8" max="8" width="15.85546875" bestFit="1" customWidth="1"/>
    <col min="9" max="10" width="13.28515625" bestFit="1" customWidth="1"/>
    <col min="11" max="12" width="14.85546875" bestFit="1" customWidth="1"/>
    <col min="13" max="13" width="15.85546875" bestFit="1" customWidth="1"/>
  </cols>
  <sheetData>
    <row r="1" spans="1:13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"/>
      <c r="M1" s="5"/>
    </row>
    <row r="2" spans="1:13" x14ac:dyDescent="0.25">
      <c r="A2" s="58" t="s">
        <v>1</v>
      </c>
      <c r="B2" s="58"/>
      <c r="C2" s="58"/>
      <c r="D2" s="58"/>
      <c r="E2" s="58" t="s">
        <v>24</v>
      </c>
      <c r="F2" s="58"/>
      <c r="G2" s="58"/>
      <c r="H2" s="58"/>
      <c r="I2" s="58" t="s">
        <v>25</v>
      </c>
      <c r="J2" s="58"/>
      <c r="K2" s="58"/>
      <c r="L2" s="58"/>
      <c r="M2" s="5"/>
    </row>
    <row r="3" spans="1:13" x14ac:dyDescent="0.25">
      <c r="A3" s="6" t="s">
        <v>9</v>
      </c>
      <c r="B3" s="6" t="s">
        <v>10</v>
      </c>
      <c r="C3" s="6" t="s">
        <v>11</v>
      </c>
      <c r="D3" s="6" t="s">
        <v>12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23</v>
      </c>
    </row>
    <row r="4" spans="1:13" x14ac:dyDescent="0.25">
      <c r="A4" s="1"/>
      <c r="B4" s="1"/>
      <c r="C4" s="1"/>
      <c r="D4" s="1"/>
      <c r="E4" s="2">
        <v>0.17499999999999999</v>
      </c>
      <c r="F4" s="2">
        <v>0.03</v>
      </c>
      <c r="G4" s="2">
        <v>0.01</v>
      </c>
      <c r="H4" s="3">
        <f>SUM(E4:G4)</f>
        <v>0.215</v>
      </c>
      <c r="I4" s="2">
        <v>0.08</v>
      </c>
      <c r="J4" s="2">
        <v>1.4999999999999999E-2</v>
      </c>
      <c r="K4" s="2">
        <v>0.01</v>
      </c>
      <c r="L4" s="3">
        <v>0.105</v>
      </c>
      <c r="M4" s="1"/>
    </row>
    <row r="5" spans="1:13" x14ac:dyDescent="0.25">
      <c r="A5" s="1" t="s">
        <v>4</v>
      </c>
      <c r="B5" s="1" t="s">
        <v>13</v>
      </c>
      <c r="C5" s="1">
        <v>11000000</v>
      </c>
      <c r="D5" s="1">
        <v>12500000</v>
      </c>
      <c r="E5" s="1">
        <f>C5*E4</f>
        <v>1924999.9999999998</v>
      </c>
      <c r="F5" s="1">
        <f>C5*F4</f>
        <v>330000</v>
      </c>
      <c r="G5" s="1">
        <f>C5*G4</f>
        <v>110000</v>
      </c>
      <c r="H5" s="4">
        <f>SUM(E5:G5)</f>
        <v>2365000</v>
      </c>
      <c r="I5" s="1">
        <f>C5*I4</f>
        <v>880000</v>
      </c>
      <c r="J5" s="1">
        <f>C5*J4</f>
        <v>165000</v>
      </c>
      <c r="K5" s="1">
        <f>G5</f>
        <v>110000</v>
      </c>
      <c r="L5" s="4">
        <f>SUM(I5:K5)</f>
        <v>1155000</v>
      </c>
      <c r="M5" s="1">
        <f>D5-L5</f>
        <v>11345000</v>
      </c>
    </row>
    <row r="6" spans="1:13" x14ac:dyDescent="0.25">
      <c r="A6" s="1" t="s">
        <v>3</v>
      </c>
      <c r="B6" s="1" t="s">
        <v>14</v>
      </c>
      <c r="C6" s="1">
        <v>7500000</v>
      </c>
      <c r="D6" s="1">
        <v>8500000</v>
      </c>
      <c r="E6" s="1">
        <f>C6*E4</f>
        <v>1312500</v>
      </c>
      <c r="F6" s="1">
        <f>C6*F4</f>
        <v>225000</v>
      </c>
      <c r="G6" s="1">
        <f>C6*G4</f>
        <v>75000</v>
      </c>
      <c r="H6" s="4">
        <f t="shared" ref="H6:H11" si="0">SUM(E6:G6)</f>
        <v>1612500</v>
      </c>
      <c r="I6" s="1">
        <f>C6*I4</f>
        <v>600000</v>
      </c>
      <c r="J6" s="1">
        <f>C6*J4</f>
        <v>112500</v>
      </c>
      <c r="K6" s="1">
        <f t="shared" ref="K6:K11" si="1">G6</f>
        <v>75000</v>
      </c>
      <c r="L6" s="4">
        <f t="shared" ref="L6:L11" si="2">SUM(I6:K6)</f>
        <v>787500</v>
      </c>
      <c r="M6" s="1">
        <f t="shared" ref="M6:M11" si="3">D6-L6</f>
        <v>7712500</v>
      </c>
    </row>
    <row r="7" spans="1:13" x14ac:dyDescent="0.25">
      <c r="A7" s="1" t="s">
        <v>2</v>
      </c>
      <c r="B7" s="1" t="s">
        <v>21</v>
      </c>
      <c r="C7" s="1">
        <f>20000*14*30</f>
        <v>8400000</v>
      </c>
      <c r="D7" s="1">
        <v>9500000</v>
      </c>
      <c r="E7" s="1">
        <f>C7*E4</f>
        <v>1470000</v>
      </c>
      <c r="F7" s="1">
        <f>C7*F4</f>
        <v>252000</v>
      </c>
      <c r="G7" s="1">
        <f>C7*G4</f>
        <v>84000</v>
      </c>
      <c r="H7" s="4">
        <f t="shared" si="0"/>
        <v>1806000</v>
      </c>
      <c r="I7" s="1">
        <f>C7*I4</f>
        <v>672000</v>
      </c>
      <c r="J7" s="1">
        <f>C7*J4</f>
        <v>126000</v>
      </c>
      <c r="K7" s="1">
        <f t="shared" si="1"/>
        <v>84000</v>
      </c>
      <c r="L7" s="4">
        <f t="shared" si="2"/>
        <v>882000</v>
      </c>
      <c r="M7" s="1">
        <f t="shared" si="3"/>
        <v>8618000</v>
      </c>
    </row>
    <row r="8" spans="1:13" x14ac:dyDescent="0.25">
      <c r="A8" s="1" t="s">
        <v>5</v>
      </c>
      <c r="B8" s="1" t="s">
        <v>22</v>
      </c>
      <c r="C8" s="1">
        <f>18000*7*30</f>
        <v>3780000</v>
      </c>
      <c r="D8" s="1">
        <v>5000000</v>
      </c>
      <c r="E8" s="1">
        <f>C8*E4</f>
        <v>661500</v>
      </c>
      <c r="F8" s="1">
        <f>C8*F4</f>
        <v>113400</v>
      </c>
      <c r="G8" s="1">
        <f>C8*G4</f>
        <v>37800</v>
      </c>
      <c r="H8" s="4">
        <f t="shared" si="0"/>
        <v>812700</v>
      </c>
      <c r="I8" s="1">
        <f>C8*I4</f>
        <v>302400</v>
      </c>
      <c r="J8" s="1">
        <f>C8*J4</f>
        <v>56700</v>
      </c>
      <c r="K8" s="1">
        <f t="shared" si="1"/>
        <v>37800</v>
      </c>
      <c r="L8" s="4">
        <f t="shared" si="2"/>
        <v>396900</v>
      </c>
      <c r="M8" s="1">
        <f t="shared" si="3"/>
        <v>4603100</v>
      </c>
    </row>
    <row r="9" spans="1:13" x14ac:dyDescent="0.25">
      <c r="A9" s="1" t="s">
        <v>6</v>
      </c>
      <c r="B9" s="1" t="s">
        <v>20</v>
      </c>
      <c r="C9" s="1">
        <v>5000000</v>
      </c>
      <c r="D9" s="1">
        <v>6000000</v>
      </c>
      <c r="E9" s="1">
        <f>C9*E4</f>
        <v>875000</v>
      </c>
      <c r="F9" s="1">
        <f>C9*F4</f>
        <v>150000</v>
      </c>
      <c r="G9" s="1">
        <f>C9*G4</f>
        <v>50000</v>
      </c>
      <c r="H9" s="4">
        <f t="shared" si="0"/>
        <v>1075000</v>
      </c>
      <c r="I9" s="1">
        <f>C9*I4</f>
        <v>400000</v>
      </c>
      <c r="J9" s="1">
        <f>C9*J4</f>
        <v>75000</v>
      </c>
      <c r="K9" s="1">
        <f t="shared" si="1"/>
        <v>50000</v>
      </c>
      <c r="L9" s="4">
        <f t="shared" si="2"/>
        <v>525000</v>
      </c>
      <c r="M9" s="1">
        <f t="shared" si="3"/>
        <v>5475000</v>
      </c>
    </row>
    <row r="10" spans="1:13" x14ac:dyDescent="0.25">
      <c r="A10" s="1" t="s">
        <v>7</v>
      </c>
      <c r="B10" s="1" t="s">
        <v>22</v>
      </c>
      <c r="C10" s="1">
        <f>18000*7*30</f>
        <v>3780000</v>
      </c>
      <c r="D10" s="1">
        <v>5000000</v>
      </c>
      <c r="E10" s="1">
        <f>C10*E4</f>
        <v>661500</v>
      </c>
      <c r="F10" s="1">
        <f>C10*F4</f>
        <v>113400</v>
      </c>
      <c r="G10" s="1">
        <f>C10*G4</f>
        <v>37800</v>
      </c>
      <c r="H10" s="4">
        <f t="shared" si="0"/>
        <v>812700</v>
      </c>
      <c r="I10" s="1">
        <f>C10*I4</f>
        <v>302400</v>
      </c>
      <c r="J10" s="1">
        <f>C10*J4</f>
        <v>56700</v>
      </c>
      <c r="K10" s="1">
        <f t="shared" si="1"/>
        <v>37800</v>
      </c>
      <c r="L10" s="4">
        <f t="shared" si="2"/>
        <v>396900</v>
      </c>
      <c r="M10" s="1">
        <f t="shared" si="3"/>
        <v>4603100</v>
      </c>
    </row>
    <row r="11" spans="1:13" x14ac:dyDescent="0.25">
      <c r="A11" s="1" t="s">
        <v>8</v>
      </c>
      <c r="B11" s="1" t="s">
        <v>15</v>
      </c>
      <c r="C11" s="1">
        <v>9000000</v>
      </c>
      <c r="D11" s="1">
        <v>10500000</v>
      </c>
      <c r="E11" s="1">
        <f>C11*E4</f>
        <v>1575000</v>
      </c>
      <c r="F11" s="1">
        <f>C11*F4</f>
        <v>270000</v>
      </c>
      <c r="G11" s="1">
        <f>C11*G4</f>
        <v>90000</v>
      </c>
      <c r="H11" s="4">
        <f t="shared" si="0"/>
        <v>1935000</v>
      </c>
      <c r="I11" s="1">
        <f>C11*I4</f>
        <v>720000</v>
      </c>
      <c r="J11" s="1">
        <f>C11*J4</f>
        <v>135000</v>
      </c>
      <c r="K11" s="1">
        <f t="shared" si="1"/>
        <v>90000</v>
      </c>
      <c r="L11" s="4">
        <f t="shared" si="2"/>
        <v>945000</v>
      </c>
      <c r="M11" s="1">
        <f t="shared" si="3"/>
        <v>9555000</v>
      </c>
    </row>
    <row r="12" spans="1:13" x14ac:dyDescent="0.25">
      <c r="A12" s="59" t="s">
        <v>19</v>
      </c>
      <c r="B12" s="59"/>
      <c r="C12" s="59"/>
      <c r="D12" s="4">
        <f>SUM(D5:D11)</f>
        <v>57000000</v>
      </c>
      <c r="E12" s="1"/>
      <c r="F12" s="1"/>
      <c r="G12" s="1"/>
      <c r="H12" s="4">
        <f>SUM(H5:H11)</f>
        <v>10418900</v>
      </c>
      <c r="I12" s="1"/>
      <c r="J12" s="1"/>
      <c r="K12" s="1"/>
      <c r="L12" s="7">
        <f>SUM(L5:L11)</f>
        <v>5088300</v>
      </c>
      <c r="M12" s="7">
        <f>SUM(M5:M11)</f>
        <v>51911700</v>
      </c>
    </row>
    <row r="13" spans="1:13" x14ac:dyDescent="0.25">
      <c r="A13" s="8"/>
      <c r="B13" s="56" t="s">
        <v>26</v>
      </c>
      <c r="C13" s="56"/>
      <c r="D13" s="56"/>
      <c r="E13" s="56"/>
      <c r="F13" s="57">
        <f>M12-L12</f>
        <v>46823400</v>
      </c>
      <c r="G13" s="57"/>
      <c r="H13" s="57"/>
      <c r="I13" s="8"/>
      <c r="J13" s="8"/>
      <c r="K13" s="8"/>
      <c r="L13" s="8"/>
      <c r="M13" s="8"/>
    </row>
  </sheetData>
  <mergeCells count="7">
    <mergeCell ref="B13:E13"/>
    <mergeCell ref="F13:H13"/>
    <mergeCell ref="A1:K1"/>
    <mergeCell ref="A2:D2"/>
    <mergeCell ref="E2:H2"/>
    <mergeCell ref="A12:C1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7EB6-D1A6-4B0C-90EF-18351253E93A}">
  <dimension ref="A1:K43"/>
  <sheetViews>
    <sheetView topLeftCell="A28" workbookViewId="0">
      <selection activeCell="G41" sqref="G41"/>
    </sheetView>
  </sheetViews>
  <sheetFormatPr defaultColWidth="15.7109375" defaultRowHeight="15" x14ac:dyDescent="0.25"/>
  <cols>
    <col min="1" max="1" width="11.85546875" bestFit="1" customWidth="1"/>
    <col min="2" max="2" width="21.140625" bestFit="1" customWidth="1"/>
    <col min="6" max="6" width="15.85546875" bestFit="1" customWidth="1"/>
    <col min="7" max="7" width="16.85546875" bestFit="1" customWidth="1"/>
    <col min="8" max="8" width="15.85546875" bestFit="1" customWidth="1"/>
    <col min="9" max="9" width="18.7109375" bestFit="1" customWidth="1"/>
    <col min="10" max="10" width="15.85546875" bestFit="1" customWidth="1"/>
    <col min="11" max="11" width="19.7109375" bestFit="1" customWidth="1"/>
  </cols>
  <sheetData>
    <row r="1" spans="1:9" x14ac:dyDescent="0.25">
      <c r="A1" s="60" t="s">
        <v>27</v>
      </c>
      <c r="B1" s="60"/>
      <c r="C1" s="60"/>
      <c r="D1" s="60"/>
      <c r="E1" s="60"/>
      <c r="F1" s="60"/>
      <c r="G1" s="60"/>
      <c r="H1" s="15"/>
      <c r="I1" s="14"/>
    </row>
    <row r="2" spans="1:9" x14ac:dyDescent="0.25">
      <c r="A2" s="16"/>
      <c r="B2" s="17"/>
      <c r="C2" s="17"/>
      <c r="D2" s="17"/>
      <c r="E2" s="17"/>
      <c r="F2" s="17"/>
      <c r="G2" s="18"/>
      <c r="H2" s="13"/>
      <c r="I2" s="13"/>
    </row>
    <row r="3" spans="1:9" x14ac:dyDescent="0.25">
      <c r="A3" s="9"/>
      <c r="B3" s="9"/>
      <c r="C3" s="9" t="s">
        <v>28</v>
      </c>
      <c r="D3" s="9"/>
      <c r="E3" s="9" t="s">
        <v>41</v>
      </c>
      <c r="F3" s="9" t="s">
        <v>30</v>
      </c>
      <c r="G3" s="9" t="s">
        <v>19</v>
      </c>
      <c r="H3" s="13"/>
      <c r="I3" s="13"/>
    </row>
    <row r="4" spans="1:9" x14ac:dyDescent="0.25">
      <c r="A4" s="61" t="s">
        <v>35</v>
      </c>
      <c r="B4" s="9" t="s">
        <v>32</v>
      </c>
      <c r="C4" s="9" t="s">
        <v>29</v>
      </c>
      <c r="D4" s="9"/>
      <c r="E4" s="9">
        <v>1</v>
      </c>
      <c r="F4" s="1">
        <v>61000000</v>
      </c>
      <c r="G4" s="1">
        <f>F4*E4</f>
        <v>61000000</v>
      </c>
      <c r="H4" s="13"/>
      <c r="I4" s="13"/>
    </row>
    <row r="5" spans="1:9" x14ac:dyDescent="0.25">
      <c r="A5" s="61"/>
      <c r="B5" s="9" t="s">
        <v>31</v>
      </c>
      <c r="C5" s="9" t="s">
        <v>29</v>
      </c>
      <c r="D5" s="9"/>
      <c r="E5" s="9">
        <v>1</v>
      </c>
      <c r="F5" s="1">
        <v>12500000</v>
      </c>
      <c r="G5" s="1">
        <f t="shared" ref="G5:G6" si="0">F5*E5</f>
        <v>12500000</v>
      </c>
      <c r="H5" s="13"/>
      <c r="I5" s="13"/>
    </row>
    <row r="6" spans="1:9" x14ac:dyDescent="0.25">
      <c r="A6" s="61"/>
      <c r="B6" s="9" t="s">
        <v>33</v>
      </c>
      <c r="C6" s="9" t="s">
        <v>29</v>
      </c>
      <c r="D6" s="9"/>
      <c r="E6" s="9">
        <v>1</v>
      </c>
      <c r="F6" s="1">
        <v>1025000</v>
      </c>
      <c r="G6" s="1">
        <f t="shared" si="0"/>
        <v>1025000</v>
      </c>
      <c r="H6" s="13"/>
      <c r="I6" s="13"/>
    </row>
    <row r="7" spans="1:9" x14ac:dyDescent="0.25">
      <c r="A7" s="61"/>
      <c r="B7" s="9" t="s">
        <v>34</v>
      </c>
      <c r="C7" s="9" t="s">
        <v>29</v>
      </c>
      <c r="D7" s="9"/>
      <c r="E7" s="9">
        <v>1</v>
      </c>
      <c r="F7" s="1">
        <v>3000000</v>
      </c>
      <c r="G7" s="1">
        <f>F7*E7</f>
        <v>3000000</v>
      </c>
      <c r="H7" s="13"/>
      <c r="I7" s="13"/>
    </row>
    <row r="8" spans="1:9" x14ac:dyDescent="0.25">
      <c r="A8" s="60" t="s">
        <v>19</v>
      </c>
      <c r="B8" s="60"/>
      <c r="C8" s="9" t="s">
        <v>36</v>
      </c>
      <c r="D8" s="9"/>
      <c r="E8" s="9"/>
      <c r="F8" s="4">
        <f>SUM(F4:F7)*75%</f>
        <v>58143750</v>
      </c>
      <c r="G8" s="4">
        <f>SUM(G4:G7)*0.75</f>
        <v>58143750</v>
      </c>
      <c r="H8" s="13"/>
      <c r="I8" s="13"/>
    </row>
    <row r="9" spans="1:9" x14ac:dyDescent="0.25">
      <c r="B9" s="9"/>
      <c r="C9" s="9"/>
      <c r="D9" s="9"/>
      <c r="E9" s="9"/>
      <c r="F9" s="1"/>
      <c r="G9" s="1"/>
      <c r="H9" s="13"/>
      <c r="I9" s="13"/>
    </row>
    <row r="10" spans="1:9" x14ac:dyDescent="0.25">
      <c r="A10" s="65" t="s">
        <v>37</v>
      </c>
      <c r="B10" s="9" t="s">
        <v>38</v>
      </c>
      <c r="C10" s="9" t="s">
        <v>47</v>
      </c>
      <c r="D10" s="9"/>
      <c r="E10" s="9">
        <v>15</v>
      </c>
      <c r="F10" s="1">
        <v>350000</v>
      </c>
      <c r="G10" s="1">
        <f t="shared" ref="G10:G11" si="1">F10*E10</f>
        <v>5250000</v>
      </c>
      <c r="H10" s="13"/>
      <c r="I10" s="13"/>
    </row>
    <row r="11" spans="1:9" x14ac:dyDescent="0.25">
      <c r="A11" s="66"/>
      <c r="B11" s="9" t="s">
        <v>39</v>
      </c>
      <c r="C11" s="9" t="s">
        <v>47</v>
      </c>
      <c r="D11" s="9"/>
      <c r="E11" s="9">
        <v>60</v>
      </c>
      <c r="F11" s="1">
        <v>180000</v>
      </c>
      <c r="G11" s="1">
        <f t="shared" si="1"/>
        <v>10800000</v>
      </c>
      <c r="H11" s="13"/>
      <c r="I11" s="13"/>
    </row>
    <row r="12" spans="1:9" x14ac:dyDescent="0.25">
      <c r="A12" s="66"/>
      <c r="B12" s="9" t="s">
        <v>40</v>
      </c>
      <c r="C12" s="9" t="s">
        <v>45</v>
      </c>
      <c r="D12" s="9"/>
      <c r="E12" s="9">
        <v>4</v>
      </c>
      <c r="F12" s="1">
        <v>399000</v>
      </c>
      <c r="G12" s="1">
        <f>F12*E12</f>
        <v>1596000</v>
      </c>
      <c r="H12" s="13"/>
      <c r="I12" s="13"/>
    </row>
    <row r="13" spans="1:9" x14ac:dyDescent="0.25">
      <c r="A13" s="66"/>
      <c r="B13" s="9" t="s">
        <v>46</v>
      </c>
      <c r="C13" s="9" t="s">
        <v>49</v>
      </c>
      <c r="D13" s="9"/>
      <c r="E13" s="9">
        <v>2</v>
      </c>
      <c r="F13" s="1">
        <f>1600000*10</f>
        <v>16000000</v>
      </c>
      <c r="G13" s="1">
        <f>F13*E13</f>
        <v>32000000</v>
      </c>
      <c r="H13" s="13"/>
      <c r="I13" s="13"/>
    </row>
    <row r="14" spans="1:9" x14ac:dyDescent="0.25">
      <c r="A14" s="66"/>
      <c r="B14" s="9" t="s">
        <v>50</v>
      </c>
      <c r="C14" s="9" t="s">
        <v>51</v>
      </c>
      <c r="D14" s="9"/>
      <c r="E14" s="9">
        <v>30</v>
      </c>
      <c r="F14" s="1">
        <v>3000000</v>
      </c>
      <c r="G14" s="1">
        <f>F14*E14</f>
        <v>90000000</v>
      </c>
      <c r="H14" s="13"/>
      <c r="I14" s="13"/>
    </row>
    <row r="15" spans="1:9" x14ac:dyDescent="0.25">
      <c r="A15" s="66"/>
      <c r="B15" s="9" t="s">
        <v>42</v>
      </c>
      <c r="C15" s="9" t="s">
        <v>48</v>
      </c>
      <c r="D15" s="9"/>
      <c r="E15" s="9">
        <v>4</v>
      </c>
      <c r="F15" s="1">
        <v>1050000</v>
      </c>
      <c r="G15" s="1">
        <f>F15*E15</f>
        <v>4200000</v>
      </c>
      <c r="H15" s="13"/>
      <c r="I15" s="13"/>
    </row>
    <row r="16" spans="1:9" x14ac:dyDescent="0.25">
      <c r="A16" s="67"/>
      <c r="B16" s="9" t="s">
        <v>43</v>
      </c>
      <c r="C16" s="9" t="s">
        <v>44</v>
      </c>
      <c r="D16" s="9"/>
      <c r="E16" s="9">
        <v>1</v>
      </c>
      <c r="F16" s="1">
        <v>3965000</v>
      </c>
      <c r="G16" s="1">
        <f>F16*E16</f>
        <v>3965000</v>
      </c>
      <c r="H16" s="13"/>
      <c r="I16" s="13"/>
    </row>
    <row r="17" spans="1:11" x14ac:dyDescent="0.25">
      <c r="A17" s="9"/>
      <c r="B17" s="9"/>
      <c r="C17" s="9"/>
      <c r="D17" s="9"/>
      <c r="E17" s="9"/>
      <c r="F17" s="1"/>
      <c r="G17" s="1"/>
      <c r="H17" s="13"/>
      <c r="I17" s="13"/>
    </row>
    <row r="18" spans="1:11" x14ac:dyDescent="0.25">
      <c r="A18" s="61" t="s">
        <v>35</v>
      </c>
      <c r="B18" s="9"/>
      <c r="C18" s="9"/>
      <c r="D18" s="9"/>
      <c r="E18" s="9"/>
      <c r="F18" s="1"/>
      <c r="G18" s="1"/>
      <c r="H18" s="8"/>
      <c r="I18" s="8"/>
      <c r="J18" s="20"/>
      <c r="K18" s="20"/>
    </row>
    <row r="19" spans="1:11" x14ac:dyDescent="0.25">
      <c r="A19" s="61"/>
      <c r="B19" s="9" t="s">
        <v>53</v>
      </c>
      <c r="C19" s="9" t="s">
        <v>54</v>
      </c>
      <c r="D19" s="9"/>
      <c r="E19" s="9"/>
      <c r="F19" s="20">
        <v>36842698.484848484</v>
      </c>
      <c r="G19" s="20">
        <v>36842698.484848484</v>
      </c>
      <c r="H19" s="8"/>
      <c r="I19" s="8"/>
      <c r="J19" s="20"/>
      <c r="K19" s="20"/>
    </row>
    <row r="20" spans="1:11" x14ac:dyDescent="0.25">
      <c r="A20" s="11"/>
      <c r="B20" s="9"/>
      <c r="C20" s="9"/>
      <c r="D20" s="9"/>
      <c r="E20" s="9"/>
      <c r="F20" s="1"/>
      <c r="G20" s="1"/>
      <c r="H20" s="8"/>
      <c r="I20" s="8"/>
      <c r="J20" s="20"/>
      <c r="K20" s="20"/>
    </row>
    <row r="21" spans="1:11" ht="30" x14ac:dyDescent="0.25">
      <c r="A21" s="65" t="s">
        <v>52</v>
      </c>
      <c r="B21" s="10" t="s">
        <v>62</v>
      </c>
      <c r="C21" s="9" t="s">
        <v>68</v>
      </c>
      <c r="D21" s="9"/>
      <c r="E21" s="9">
        <v>3</v>
      </c>
      <c r="F21" s="1">
        <v>18000000</v>
      </c>
      <c r="G21" s="1">
        <f t="shared" ref="G21:G26" si="2">F21*E21</f>
        <v>54000000</v>
      </c>
      <c r="H21" s="8"/>
      <c r="I21" s="8"/>
      <c r="J21" s="20"/>
      <c r="K21" s="20"/>
    </row>
    <row r="22" spans="1:11" x14ac:dyDescent="0.25">
      <c r="A22" s="66"/>
      <c r="B22" s="9" t="s">
        <v>63</v>
      </c>
      <c r="C22" s="9" t="s">
        <v>68</v>
      </c>
      <c r="D22" s="9"/>
      <c r="E22" s="9">
        <v>3</v>
      </c>
      <c r="F22" s="1">
        <v>15000000</v>
      </c>
      <c r="G22" s="1">
        <f t="shared" si="2"/>
        <v>45000000</v>
      </c>
      <c r="H22" s="8"/>
      <c r="I22" s="8"/>
      <c r="J22" s="8"/>
      <c r="K22" s="20"/>
    </row>
    <row r="23" spans="1:11" ht="30" x14ac:dyDescent="0.25">
      <c r="A23" s="66"/>
      <c r="B23" s="10" t="s">
        <v>64</v>
      </c>
      <c r="C23" s="9" t="s">
        <v>68</v>
      </c>
      <c r="D23" s="9"/>
      <c r="E23" s="9">
        <v>1</v>
      </c>
      <c r="F23" s="1">
        <v>35000000</v>
      </c>
      <c r="G23" s="1">
        <f t="shared" si="2"/>
        <v>35000000</v>
      </c>
      <c r="H23" s="8"/>
      <c r="I23" s="8"/>
      <c r="J23" s="20"/>
      <c r="K23" s="20"/>
    </row>
    <row r="24" spans="1:11" x14ac:dyDescent="0.25">
      <c r="A24" s="66"/>
      <c r="B24" s="9" t="s">
        <v>65</v>
      </c>
      <c r="C24" s="9" t="s">
        <v>68</v>
      </c>
      <c r="D24" s="9"/>
      <c r="E24" s="9">
        <v>3</v>
      </c>
      <c r="F24" s="1">
        <v>18500000</v>
      </c>
      <c r="G24" s="1">
        <f t="shared" si="2"/>
        <v>55500000</v>
      </c>
      <c r="H24" s="8"/>
      <c r="I24" s="8"/>
      <c r="J24" s="20"/>
      <c r="K24" s="20"/>
    </row>
    <row r="25" spans="1:11" x14ac:dyDescent="0.25">
      <c r="A25" s="66"/>
      <c r="B25" s="9" t="s">
        <v>66</v>
      </c>
      <c r="C25" s="9" t="s">
        <v>68</v>
      </c>
      <c r="D25" s="9"/>
      <c r="E25" s="9">
        <v>4</v>
      </c>
      <c r="F25" s="1">
        <v>10000000</v>
      </c>
      <c r="G25" s="1">
        <f t="shared" si="2"/>
        <v>40000000</v>
      </c>
      <c r="H25" s="8"/>
      <c r="I25" s="8"/>
      <c r="J25" s="20"/>
      <c r="K25" s="20"/>
    </row>
    <row r="26" spans="1:11" x14ac:dyDescent="0.25">
      <c r="A26" s="66"/>
      <c r="B26" s="12" t="s">
        <v>67</v>
      </c>
      <c r="C26" s="9" t="s">
        <v>71</v>
      </c>
      <c r="D26" s="9"/>
      <c r="E26" s="9">
        <v>14</v>
      </c>
      <c r="F26" s="1">
        <v>260000</v>
      </c>
      <c r="G26" s="1">
        <f t="shared" si="2"/>
        <v>3640000</v>
      </c>
      <c r="H26" s="8"/>
      <c r="I26" s="8"/>
      <c r="J26" s="20"/>
      <c r="K26" s="20"/>
    </row>
    <row r="27" spans="1:11" x14ac:dyDescent="0.25">
      <c r="A27" s="66"/>
      <c r="B27" s="9" t="s">
        <v>69</v>
      </c>
      <c r="C27" s="9" t="s">
        <v>71</v>
      </c>
      <c r="D27" s="9"/>
      <c r="E27" s="9"/>
      <c r="F27" s="1">
        <v>3000000</v>
      </c>
      <c r="G27" s="1">
        <v>3000000</v>
      </c>
      <c r="H27" s="8"/>
      <c r="I27" s="8"/>
      <c r="J27" s="20"/>
      <c r="K27" s="20"/>
    </row>
    <row r="28" spans="1:11" x14ac:dyDescent="0.25">
      <c r="A28" s="67"/>
      <c r="B28" s="12" t="s">
        <v>70</v>
      </c>
      <c r="C28" s="9" t="s">
        <v>71</v>
      </c>
      <c r="D28" s="9"/>
      <c r="E28" s="9"/>
      <c r="F28" s="1">
        <v>3000000</v>
      </c>
      <c r="G28" s="1">
        <v>3000000</v>
      </c>
      <c r="H28" s="8"/>
      <c r="I28" s="8"/>
      <c r="J28" s="20"/>
      <c r="K28" s="20"/>
    </row>
    <row r="29" spans="1:11" x14ac:dyDescent="0.25">
      <c r="A29" s="19"/>
      <c r="B29" s="9"/>
      <c r="C29" s="9"/>
      <c r="D29" s="9"/>
      <c r="E29" s="9"/>
      <c r="F29" s="9"/>
      <c r="G29" s="9"/>
      <c r="H29" s="8"/>
      <c r="I29" s="8"/>
      <c r="J29" s="20"/>
      <c r="K29" s="20"/>
    </row>
    <row r="30" spans="1:11" ht="30" x14ac:dyDescent="0.25">
      <c r="A30" s="62"/>
      <c r="B30" s="10" t="s">
        <v>55</v>
      </c>
      <c r="C30" s="9"/>
      <c r="D30" s="9"/>
      <c r="E30" s="9"/>
      <c r="F30" s="1">
        <v>2956000</v>
      </c>
      <c r="G30" s="1">
        <v>2956000</v>
      </c>
      <c r="H30" s="8"/>
      <c r="I30" s="8"/>
      <c r="J30" s="20"/>
      <c r="K30" s="20"/>
    </row>
    <row r="31" spans="1:11" x14ac:dyDescent="0.25">
      <c r="A31" s="63"/>
      <c r="B31" s="9" t="s">
        <v>56</v>
      </c>
      <c r="C31" s="9"/>
      <c r="D31" s="9"/>
      <c r="E31" s="9"/>
      <c r="F31" s="1">
        <v>7000000</v>
      </c>
      <c r="G31" s="1">
        <v>7000000</v>
      </c>
      <c r="H31" s="8"/>
      <c r="I31" s="8"/>
      <c r="J31" s="20"/>
      <c r="K31" s="20"/>
    </row>
    <row r="32" spans="1:11" x14ac:dyDescent="0.25">
      <c r="A32" s="63"/>
      <c r="B32" s="9" t="s">
        <v>57</v>
      </c>
      <c r="C32" s="9"/>
      <c r="D32" s="9"/>
      <c r="E32" s="9"/>
      <c r="F32" s="1">
        <v>12000000</v>
      </c>
      <c r="G32" s="1">
        <v>12000000</v>
      </c>
      <c r="H32" s="8"/>
      <c r="I32" s="8"/>
      <c r="J32" s="20"/>
      <c r="K32" s="20"/>
    </row>
    <row r="33" spans="1:11" x14ac:dyDescent="0.25">
      <c r="A33" s="63"/>
      <c r="B33" s="9" t="s">
        <v>58</v>
      </c>
      <c r="C33" s="9"/>
      <c r="D33" s="9"/>
      <c r="E33" s="9"/>
      <c r="F33" s="1">
        <v>500000</v>
      </c>
      <c r="G33" s="1">
        <v>500000</v>
      </c>
      <c r="H33" s="8"/>
      <c r="I33" s="8"/>
      <c r="J33" s="20"/>
      <c r="K33" s="20"/>
    </row>
    <row r="34" spans="1:11" x14ac:dyDescent="0.25">
      <c r="A34" s="63"/>
      <c r="B34" s="9" t="s">
        <v>59</v>
      </c>
      <c r="C34" s="9"/>
      <c r="D34" s="9"/>
      <c r="E34" s="9"/>
      <c r="F34" s="1">
        <v>25000000</v>
      </c>
      <c r="G34" s="1">
        <v>25000000</v>
      </c>
      <c r="H34" s="8"/>
      <c r="I34" s="8"/>
      <c r="J34" s="20"/>
      <c r="K34" s="20"/>
    </row>
    <row r="35" spans="1:11" x14ac:dyDescent="0.25">
      <c r="A35" s="63"/>
      <c r="B35" s="9" t="s">
        <v>0</v>
      </c>
      <c r="C35" s="9"/>
      <c r="D35" s="9"/>
      <c r="E35" s="9"/>
      <c r="F35" s="1">
        <v>51911700</v>
      </c>
      <c r="G35" s="1">
        <v>51911700</v>
      </c>
      <c r="H35" s="8"/>
      <c r="I35" s="8"/>
      <c r="J35" s="20"/>
      <c r="K35" s="20"/>
    </row>
    <row r="36" spans="1:11" x14ac:dyDescent="0.25">
      <c r="A36" s="63"/>
      <c r="B36" s="9" t="s">
        <v>60</v>
      </c>
      <c r="C36" s="9"/>
      <c r="D36" s="9"/>
      <c r="E36" s="9"/>
      <c r="F36" s="1">
        <v>2000000</v>
      </c>
      <c r="G36" s="1">
        <v>2000000</v>
      </c>
      <c r="H36" s="8"/>
      <c r="I36" s="8"/>
      <c r="J36" s="20"/>
      <c r="K36" s="20"/>
    </row>
    <row r="37" spans="1:11" x14ac:dyDescent="0.25">
      <c r="A37" s="64"/>
      <c r="B37" s="9" t="s">
        <v>61</v>
      </c>
      <c r="C37" s="9"/>
      <c r="D37" s="9"/>
      <c r="E37" s="9"/>
      <c r="F37" s="1">
        <v>14000000</v>
      </c>
      <c r="G37" s="1">
        <v>14000000</v>
      </c>
      <c r="H37" s="8"/>
      <c r="I37" s="8"/>
      <c r="J37" s="20"/>
      <c r="K37" s="20"/>
    </row>
    <row r="38" spans="1:11" x14ac:dyDescent="0.25">
      <c r="A38" s="60" t="s">
        <v>19</v>
      </c>
      <c r="B38" s="60"/>
      <c r="C38" s="60"/>
      <c r="D38" s="60"/>
      <c r="E38" s="60"/>
      <c r="F38" s="9"/>
      <c r="G38" s="4">
        <f>SUM(G4:G37)</f>
        <v>674830148.4848485</v>
      </c>
      <c r="H38" s="8"/>
      <c r="I38" s="8"/>
      <c r="J38" s="20"/>
      <c r="K38" s="20"/>
    </row>
    <row r="40" spans="1:11" x14ac:dyDescent="0.25">
      <c r="A40" s="9"/>
      <c r="B40" s="9" t="s">
        <v>30</v>
      </c>
      <c r="C40" s="9" t="s">
        <v>112</v>
      </c>
      <c r="D40" s="9" t="s">
        <v>113</v>
      </c>
      <c r="E40" s="9" t="s">
        <v>114</v>
      </c>
    </row>
    <row r="41" spans="1:11" x14ac:dyDescent="0.25">
      <c r="A41" s="9" t="s">
        <v>52</v>
      </c>
      <c r="B41" s="43">
        <f>SUM(G21:G25)</f>
        <v>229500000</v>
      </c>
      <c r="C41" s="9">
        <v>10</v>
      </c>
      <c r="D41" s="43">
        <f>B41/C41</f>
        <v>22950000</v>
      </c>
      <c r="E41" s="43">
        <f>D41/12</f>
        <v>1912500</v>
      </c>
      <c r="G41" s="45">
        <f>SUM(B41,B42)</f>
        <v>435454750</v>
      </c>
    </row>
    <row r="42" spans="1:11" ht="30" x14ac:dyDescent="0.25">
      <c r="A42" s="10" t="s">
        <v>115</v>
      </c>
      <c r="B42" s="43">
        <f>SUM(G10:G16,G8)</f>
        <v>205954750</v>
      </c>
      <c r="C42" s="9">
        <v>6</v>
      </c>
      <c r="D42" s="43">
        <f>B42/C42</f>
        <v>34325791.666666664</v>
      </c>
      <c r="E42" s="43">
        <f t="shared" ref="E42:E43" si="3">D42/12</f>
        <v>2860482.6388888885</v>
      </c>
    </row>
    <row r="43" spans="1:11" x14ac:dyDescent="0.25">
      <c r="A43" s="22" t="s">
        <v>19</v>
      </c>
      <c r="B43" s="22"/>
      <c r="C43" s="22"/>
      <c r="D43" s="44">
        <f>SUM(D41:D42)</f>
        <v>57275791.666666664</v>
      </c>
      <c r="E43" s="44">
        <f t="shared" si="3"/>
        <v>4772982.638888889</v>
      </c>
    </row>
  </sheetData>
  <mergeCells count="8">
    <mergeCell ref="A38:E38"/>
    <mergeCell ref="A4:A7"/>
    <mergeCell ref="A8:B8"/>
    <mergeCell ref="A1:G1"/>
    <mergeCell ref="A30:A37"/>
    <mergeCell ref="A21:A28"/>
    <mergeCell ref="A10:A16"/>
    <mergeCell ref="A18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B116-952B-498C-BD42-1699FDE8CDEB}">
  <dimension ref="A1:N48"/>
  <sheetViews>
    <sheetView topLeftCell="A10" zoomScaleNormal="100" workbookViewId="0">
      <selection activeCell="G44" sqref="G44"/>
    </sheetView>
  </sheetViews>
  <sheetFormatPr defaultRowHeight="15" x14ac:dyDescent="0.25"/>
  <cols>
    <col min="1" max="1" width="24.140625" bestFit="1" customWidth="1"/>
    <col min="2" max="2" width="15.85546875" bestFit="1" customWidth="1"/>
    <col min="3" max="3" width="16.85546875" bestFit="1" customWidth="1"/>
    <col min="4" max="4" width="15.85546875" bestFit="1" customWidth="1"/>
    <col min="5" max="5" width="19.42578125" bestFit="1" customWidth="1"/>
    <col min="6" max="10" width="15.85546875" bestFit="1" customWidth="1"/>
    <col min="11" max="14" width="14.85546875" bestFit="1" customWidth="1"/>
    <col min="15" max="15" width="15.140625" bestFit="1" customWidth="1"/>
    <col min="16" max="17" width="11" bestFit="1" customWidth="1"/>
  </cols>
  <sheetData>
    <row r="1" spans="1:14" x14ac:dyDescent="0.25">
      <c r="A1" s="61" t="s">
        <v>72</v>
      </c>
      <c r="B1" s="69" t="s">
        <v>103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</row>
    <row r="2" spans="1:14" x14ac:dyDescent="0.25">
      <c r="A2" s="61"/>
      <c r="B2" s="9" t="s">
        <v>79</v>
      </c>
      <c r="C2" s="9" t="s">
        <v>80</v>
      </c>
      <c r="D2" s="9" t="s">
        <v>81</v>
      </c>
      <c r="E2" s="9" t="s">
        <v>94</v>
      </c>
      <c r="F2" s="9" t="s">
        <v>90</v>
      </c>
      <c r="G2" s="9" t="s">
        <v>91</v>
      </c>
      <c r="H2" s="9" t="s">
        <v>92</v>
      </c>
      <c r="I2" s="9" t="s">
        <v>93</v>
      </c>
      <c r="J2" s="9" t="s">
        <v>82</v>
      </c>
      <c r="K2" s="9" t="s">
        <v>83</v>
      </c>
      <c r="L2" s="9" t="s">
        <v>84</v>
      </c>
      <c r="M2" s="9" t="s">
        <v>85</v>
      </c>
      <c r="N2" s="27" t="s">
        <v>86</v>
      </c>
    </row>
    <row r="3" spans="1:14" x14ac:dyDescent="0.25">
      <c r="A3" s="39" t="s">
        <v>74</v>
      </c>
      <c r="B3" s="9">
        <v>100</v>
      </c>
      <c r="C3" s="9">
        <v>100</v>
      </c>
      <c r="D3" s="9">
        <v>100</v>
      </c>
      <c r="E3" s="9">
        <v>100</v>
      </c>
      <c r="F3" s="9">
        <v>100</v>
      </c>
      <c r="G3" s="9">
        <v>100</v>
      </c>
      <c r="H3" s="9">
        <v>100</v>
      </c>
      <c r="I3" s="9">
        <v>100</v>
      </c>
      <c r="J3" s="9">
        <v>100</v>
      </c>
      <c r="K3" s="9">
        <v>100</v>
      </c>
      <c r="L3" s="9">
        <v>100</v>
      </c>
      <c r="M3" s="9">
        <v>100</v>
      </c>
      <c r="N3" s="27">
        <v>100</v>
      </c>
    </row>
    <row r="4" spans="1:14" x14ac:dyDescent="0.25">
      <c r="A4" s="39" t="s">
        <v>75</v>
      </c>
      <c r="B4" s="23">
        <v>182415.15151515152</v>
      </c>
      <c r="C4" s="23">
        <v>378115.15151515149</v>
      </c>
      <c r="D4" s="23">
        <v>514600</v>
      </c>
      <c r="E4" s="23">
        <v>354515.15151515149</v>
      </c>
      <c r="F4" s="23">
        <v>600000</v>
      </c>
      <c r="G4" s="23">
        <v>1500000</v>
      </c>
      <c r="H4" s="23">
        <v>1079500</v>
      </c>
      <c r="I4" s="23">
        <v>1079500</v>
      </c>
      <c r="J4" s="23">
        <v>360000</v>
      </c>
      <c r="K4" s="23">
        <v>1100000</v>
      </c>
      <c r="L4" s="23">
        <v>500000</v>
      </c>
      <c r="M4" s="23">
        <v>700000</v>
      </c>
      <c r="N4" s="28">
        <v>600000</v>
      </c>
    </row>
    <row r="5" spans="1:14" x14ac:dyDescent="0.25">
      <c r="A5" s="12" t="s">
        <v>77</v>
      </c>
      <c r="B5" s="23">
        <f>B4/B3</f>
        <v>1824.1515151515152</v>
      </c>
      <c r="C5" s="23">
        <f>C4/C3</f>
        <v>3781.151515151515</v>
      </c>
      <c r="D5" s="23">
        <f>D4/D3</f>
        <v>5146</v>
      </c>
      <c r="E5" s="23">
        <f>E4/E3</f>
        <v>3545.151515151515</v>
      </c>
      <c r="F5" s="23">
        <f>F4/F3</f>
        <v>6000</v>
      </c>
      <c r="G5" s="23">
        <f t="shared" ref="G5:N5" si="0">G4/G3</f>
        <v>15000</v>
      </c>
      <c r="H5" s="23">
        <f t="shared" si="0"/>
        <v>10795</v>
      </c>
      <c r="I5" s="23">
        <f t="shared" si="0"/>
        <v>10795</v>
      </c>
      <c r="J5" s="23">
        <f t="shared" si="0"/>
        <v>3600</v>
      </c>
      <c r="K5" s="23">
        <f t="shared" si="0"/>
        <v>11000</v>
      </c>
      <c r="L5" s="23">
        <f t="shared" si="0"/>
        <v>5000</v>
      </c>
      <c r="M5" s="23">
        <f t="shared" si="0"/>
        <v>7000</v>
      </c>
      <c r="N5" s="28">
        <f t="shared" si="0"/>
        <v>6000</v>
      </c>
    </row>
    <row r="6" spans="1:14" x14ac:dyDescent="0.25">
      <c r="A6" s="9" t="s">
        <v>95</v>
      </c>
      <c r="B6" s="25">
        <f>350/2</f>
        <v>175</v>
      </c>
      <c r="C6" s="25">
        <f>200/2</f>
        <v>100</v>
      </c>
      <c r="D6" s="25">
        <f>200/2</f>
        <v>100</v>
      </c>
      <c r="E6" s="25">
        <f>100/2</f>
        <v>50</v>
      </c>
      <c r="F6" s="25">
        <f>160/2</f>
        <v>80</v>
      </c>
      <c r="G6" s="25">
        <f>250/2</f>
        <v>125</v>
      </c>
      <c r="H6" s="25">
        <f>300/2</f>
        <v>150</v>
      </c>
      <c r="I6" s="25">
        <f>240/2</f>
        <v>120</v>
      </c>
      <c r="J6" s="25">
        <f>360/2</f>
        <v>180</v>
      </c>
      <c r="K6" s="25">
        <f>220/2</f>
        <v>110</v>
      </c>
      <c r="L6" s="25">
        <f>160/2</f>
        <v>80</v>
      </c>
      <c r="M6" s="25">
        <f>60/2</f>
        <v>30</v>
      </c>
      <c r="N6" s="29">
        <f>240/2</f>
        <v>120</v>
      </c>
    </row>
    <row r="7" spans="1:14" x14ac:dyDescent="0.25">
      <c r="A7" s="39" t="s">
        <v>27</v>
      </c>
      <c r="B7" s="23">
        <v>19227.95</v>
      </c>
      <c r="C7" s="23">
        <v>19227.95</v>
      </c>
      <c r="D7" s="23">
        <v>19227.95</v>
      </c>
      <c r="E7" s="23">
        <v>19227.95</v>
      </c>
      <c r="F7" s="23">
        <v>19227.95</v>
      </c>
      <c r="G7" s="23">
        <v>19227.95</v>
      </c>
      <c r="H7" s="23">
        <v>19227.95</v>
      </c>
      <c r="I7" s="23">
        <v>19227.95</v>
      </c>
      <c r="J7" s="23">
        <v>19227.95</v>
      </c>
      <c r="K7" s="23">
        <v>19227.95</v>
      </c>
      <c r="L7" s="23">
        <v>19227.95</v>
      </c>
      <c r="M7" s="23">
        <v>19227.95</v>
      </c>
      <c r="N7" s="28">
        <v>19227.95</v>
      </c>
    </row>
    <row r="8" spans="1:14" x14ac:dyDescent="0.25">
      <c r="A8" s="9" t="s">
        <v>107</v>
      </c>
      <c r="B8" s="34">
        <f>B5*B6</f>
        <v>319226.5151515152</v>
      </c>
      <c r="C8" s="34">
        <f t="shared" ref="C8:N8" si="1">C5*C6</f>
        <v>378115.15151515149</v>
      </c>
      <c r="D8" s="34">
        <f t="shared" si="1"/>
        <v>514600</v>
      </c>
      <c r="E8" s="34">
        <f t="shared" si="1"/>
        <v>177257.57575757575</v>
      </c>
      <c r="F8" s="34">
        <f t="shared" si="1"/>
        <v>480000</v>
      </c>
      <c r="G8" s="34">
        <f t="shared" si="1"/>
        <v>1875000</v>
      </c>
      <c r="H8" s="34">
        <f t="shared" si="1"/>
        <v>1619250</v>
      </c>
      <c r="I8" s="34">
        <f t="shared" si="1"/>
        <v>1295400</v>
      </c>
      <c r="J8" s="34">
        <f t="shared" si="1"/>
        <v>648000</v>
      </c>
      <c r="K8" s="34">
        <f t="shared" si="1"/>
        <v>1210000</v>
      </c>
      <c r="L8" s="34">
        <f t="shared" si="1"/>
        <v>400000</v>
      </c>
      <c r="M8" s="34">
        <f t="shared" si="1"/>
        <v>210000</v>
      </c>
      <c r="N8" s="34">
        <f t="shared" si="1"/>
        <v>720000</v>
      </c>
    </row>
    <row r="9" spans="1:14" x14ac:dyDescent="0.25">
      <c r="A9" s="12" t="s">
        <v>78</v>
      </c>
      <c r="B9" s="30">
        <f t="shared" ref="B9:M9" si="2">SUM(B5,B7)*1.15</f>
        <v>24209.916742424241</v>
      </c>
      <c r="C9" s="30">
        <f t="shared" si="2"/>
        <v>26460.466742424243</v>
      </c>
      <c r="D9" s="30">
        <f t="shared" si="2"/>
        <v>28030.0425</v>
      </c>
      <c r="E9" s="30">
        <f t="shared" si="2"/>
        <v>26189.066742424242</v>
      </c>
      <c r="F9" s="30">
        <f t="shared" si="2"/>
        <v>29012.142499999998</v>
      </c>
      <c r="G9" s="30">
        <f t="shared" si="2"/>
        <v>39362.142499999994</v>
      </c>
      <c r="H9" s="30">
        <f t="shared" si="2"/>
        <v>34526.392500000002</v>
      </c>
      <c r="I9" s="30">
        <f t="shared" si="2"/>
        <v>34526.392500000002</v>
      </c>
      <c r="J9" s="30">
        <f t="shared" si="2"/>
        <v>26252.142499999998</v>
      </c>
      <c r="K9" s="30">
        <f t="shared" si="2"/>
        <v>34762.142500000002</v>
      </c>
      <c r="L9" s="30">
        <f t="shared" si="2"/>
        <v>27862.142499999998</v>
      </c>
      <c r="M9" s="30">
        <f t="shared" si="2"/>
        <v>30162.142499999998</v>
      </c>
      <c r="N9" s="30">
        <f>SUM(N5,N7)*1.15</f>
        <v>29012.142499999998</v>
      </c>
    </row>
    <row r="10" spans="1:14" x14ac:dyDescent="0.25">
      <c r="A10" s="9" t="s">
        <v>96</v>
      </c>
      <c r="B10" s="35">
        <f>B9*B6</f>
        <v>4236735.4299242422</v>
      </c>
      <c r="C10" s="35">
        <f t="shared" ref="C10:N10" si="3">C9*C6</f>
        <v>2646046.6742424243</v>
      </c>
      <c r="D10" s="35">
        <f t="shared" si="3"/>
        <v>2803004.25</v>
      </c>
      <c r="E10" s="35">
        <f t="shared" si="3"/>
        <v>1309453.3371212122</v>
      </c>
      <c r="F10" s="35">
        <f t="shared" si="3"/>
        <v>2320971.4</v>
      </c>
      <c r="G10" s="35">
        <f t="shared" si="3"/>
        <v>4920267.8124999991</v>
      </c>
      <c r="H10" s="35">
        <f t="shared" si="3"/>
        <v>5178958.875</v>
      </c>
      <c r="I10" s="35">
        <f t="shared" si="3"/>
        <v>4143167.1</v>
      </c>
      <c r="J10" s="35">
        <f t="shared" si="3"/>
        <v>4725385.6499999994</v>
      </c>
      <c r="K10" s="35">
        <f t="shared" si="3"/>
        <v>3823835.6750000003</v>
      </c>
      <c r="L10" s="35">
        <f t="shared" si="3"/>
        <v>2228971.4</v>
      </c>
      <c r="M10" s="35">
        <f t="shared" si="3"/>
        <v>904864.27499999991</v>
      </c>
      <c r="N10" s="36">
        <f t="shared" si="3"/>
        <v>3481457.0999999996</v>
      </c>
    </row>
    <row r="11" spans="1:14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7"/>
    </row>
    <row r="12" spans="1:14" x14ac:dyDescent="0.25">
      <c r="A12" s="9"/>
      <c r="B12" s="9" t="s">
        <v>89</v>
      </c>
      <c r="C12" s="9" t="s">
        <v>88</v>
      </c>
      <c r="D12" s="9" t="s">
        <v>87</v>
      </c>
      <c r="E12" s="9" t="s">
        <v>104</v>
      </c>
      <c r="F12" s="9" t="s">
        <v>105</v>
      </c>
      <c r="G12" s="9" t="s">
        <v>106</v>
      </c>
      <c r="H12" s="9"/>
      <c r="I12" s="9"/>
      <c r="J12" s="9"/>
      <c r="K12" s="9"/>
      <c r="L12" s="9"/>
      <c r="M12" s="9"/>
      <c r="N12" s="27"/>
    </row>
    <row r="13" spans="1:14" x14ac:dyDescent="0.25">
      <c r="A13" s="9" t="s">
        <v>74</v>
      </c>
      <c r="B13" s="9">
        <v>100</v>
      </c>
      <c r="C13" s="9">
        <v>100</v>
      </c>
      <c r="D13" s="9">
        <v>100</v>
      </c>
      <c r="E13" s="9">
        <v>100</v>
      </c>
      <c r="F13" s="9">
        <v>100</v>
      </c>
      <c r="G13" s="41">
        <v>100</v>
      </c>
      <c r="H13" s="9"/>
      <c r="I13" s="9"/>
      <c r="J13" s="9"/>
      <c r="K13" s="9"/>
      <c r="L13" s="9"/>
      <c r="M13" s="9"/>
      <c r="N13" s="27"/>
    </row>
    <row r="14" spans="1:14" x14ac:dyDescent="0.25">
      <c r="A14" s="9" t="s">
        <v>75</v>
      </c>
      <c r="B14" s="1">
        <v>1242200</v>
      </c>
      <c r="C14" s="1">
        <v>998000</v>
      </c>
      <c r="D14" s="1">
        <v>720000</v>
      </c>
      <c r="E14" s="1">
        <v>2600000</v>
      </c>
      <c r="F14" s="1">
        <v>1538000</v>
      </c>
      <c r="G14" s="42">
        <v>2812000</v>
      </c>
      <c r="H14" s="9"/>
      <c r="I14" s="9"/>
      <c r="J14" s="9"/>
      <c r="K14" s="9"/>
      <c r="L14" s="9"/>
      <c r="M14" s="9"/>
      <c r="N14" s="27"/>
    </row>
    <row r="15" spans="1:14" x14ac:dyDescent="0.25">
      <c r="A15" s="9" t="s">
        <v>108</v>
      </c>
      <c r="B15" s="1">
        <f t="shared" ref="B15:G15" si="4">B14/B13</f>
        <v>12422</v>
      </c>
      <c r="C15" s="1">
        <f t="shared" si="4"/>
        <v>9980</v>
      </c>
      <c r="D15" s="1">
        <f t="shared" si="4"/>
        <v>7200</v>
      </c>
      <c r="E15" s="1">
        <f t="shared" si="4"/>
        <v>26000</v>
      </c>
      <c r="F15" s="1">
        <f t="shared" si="4"/>
        <v>15380</v>
      </c>
      <c r="G15" s="1">
        <f t="shared" si="4"/>
        <v>28120</v>
      </c>
      <c r="H15" s="9"/>
      <c r="I15" s="9"/>
      <c r="J15" s="9"/>
      <c r="K15" s="9"/>
      <c r="L15" s="9"/>
      <c r="M15" s="9"/>
      <c r="N15" s="27"/>
    </row>
    <row r="16" spans="1:14" x14ac:dyDescent="0.25">
      <c r="A16" s="9" t="s">
        <v>95</v>
      </c>
      <c r="B16" s="26">
        <f>200/2</f>
        <v>100</v>
      </c>
      <c r="C16" s="26">
        <f>320/2</f>
        <v>160</v>
      </c>
      <c r="D16" s="26">
        <f>160/2</f>
        <v>80</v>
      </c>
      <c r="E16" s="9">
        <v>100</v>
      </c>
      <c r="F16" s="9">
        <v>75</v>
      </c>
      <c r="G16" s="9">
        <v>50</v>
      </c>
      <c r="H16" s="9"/>
      <c r="I16" s="9"/>
      <c r="J16" s="9"/>
      <c r="K16" s="9"/>
      <c r="L16" s="9"/>
      <c r="M16" s="9"/>
      <c r="N16" s="27"/>
    </row>
    <row r="17" spans="1:14" x14ac:dyDescent="0.25">
      <c r="A17" s="9" t="s">
        <v>27</v>
      </c>
      <c r="B17" s="1">
        <v>19227.95</v>
      </c>
      <c r="C17" s="1">
        <v>19227.95</v>
      </c>
      <c r="D17" s="1">
        <v>19227.95</v>
      </c>
      <c r="E17" s="1">
        <v>19227.95</v>
      </c>
      <c r="F17" s="1">
        <v>19227.95</v>
      </c>
      <c r="G17" s="42">
        <v>19227.95</v>
      </c>
      <c r="H17" s="9"/>
      <c r="I17" s="9"/>
      <c r="J17" s="9"/>
      <c r="K17" s="9"/>
      <c r="L17" s="9"/>
      <c r="M17" s="9"/>
      <c r="N17" s="27"/>
    </row>
    <row r="18" spans="1:14" x14ac:dyDescent="0.25">
      <c r="A18" s="9" t="s">
        <v>107</v>
      </c>
      <c r="B18" s="37">
        <f>B15*B16</f>
        <v>1242200</v>
      </c>
      <c r="C18" s="37">
        <f t="shared" ref="C18:G18" si="5">C15*C16</f>
        <v>1596800</v>
      </c>
      <c r="D18" s="37">
        <f t="shared" si="5"/>
        <v>576000</v>
      </c>
      <c r="E18" s="37">
        <f t="shared" si="5"/>
        <v>2600000</v>
      </c>
      <c r="F18" s="37">
        <f t="shared" si="5"/>
        <v>1153500</v>
      </c>
      <c r="G18" s="37">
        <f t="shared" si="5"/>
        <v>1406000</v>
      </c>
      <c r="H18" s="9"/>
      <c r="I18" s="9"/>
      <c r="J18" s="9"/>
      <c r="K18" s="9"/>
      <c r="L18" s="9"/>
      <c r="M18" s="9"/>
      <c r="N18" s="31"/>
    </row>
    <row r="19" spans="1:14" x14ac:dyDescent="0.25">
      <c r="A19" s="9" t="s">
        <v>78</v>
      </c>
      <c r="B19" s="4">
        <f>SUM(B15,B17)*1.1</f>
        <v>34814.945000000007</v>
      </c>
      <c r="C19" s="4">
        <f t="shared" ref="C19:G19" si="6">SUM(C15,C17)*1.1</f>
        <v>32128.745000000003</v>
      </c>
      <c r="D19" s="4">
        <f t="shared" si="6"/>
        <v>29070.745000000003</v>
      </c>
      <c r="E19" s="4">
        <f t="shared" si="6"/>
        <v>49750.745000000003</v>
      </c>
      <c r="F19" s="4">
        <f t="shared" si="6"/>
        <v>38068.745000000003</v>
      </c>
      <c r="G19" s="4">
        <f t="shared" si="6"/>
        <v>52082.745000000003</v>
      </c>
      <c r="H19" s="9"/>
      <c r="I19" s="9"/>
      <c r="J19" s="9"/>
      <c r="K19" s="9"/>
      <c r="L19" s="9"/>
      <c r="M19" s="9"/>
      <c r="N19" s="31"/>
    </row>
    <row r="20" spans="1:14" x14ac:dyDescent="0.25">
      <c r="A20" s="9" t="s">
        <v>96</v>
      </c>
      <c r="B20" s="38">
        <f>B19*B16</f>
        <v>3481494.5000000009</v>
      </c>
      <c r="C20" s="38">
        <f>C19*C16</f>
        <v>5140599.2</v>
      </c>
      <c r="D20" s="38">
        <f>D19*D16</f>
        <v>2325659.6</v>
      </c>
      <c r="E20" s="38">
        <f>E19*E16</f>
        <v>4975074.5</v>
      </c>
      <c r="F20" s="38">
        <f t="shared" ref="F20:G20" si="7">F19*F16</f>
        <v>2855155.875</v>
      </c>
      <c r="G20" s="38">
        <f t="shared" si="7"/>
        <v>2604137.25</v>
      </c>
      <c r="H20" s="40"/>
      <c r="I20" s="9"/>
      <c r="J20" s="9"/>
      <c r="K20" s="9"/>
      <c r="L20" s="9"/>
      <c r="M20" s="9"/>
      <c r="N20" s="9"/>
    </row>
    <row r="21" spans="1:14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61" t="s">
        <v>72</v>
      </c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1"/>
    </row>
    <row r="23" spans="1:14" x14ac:dyDescent="0.25">
      <c r="A23" s="61"/>
      <c r="B23" s="9" t="s">
        <v>79</v>
      </c>
      <c r="C23" s="9" t="s">
        <v>80</v>
      </c>
      <c r="D23" s="9" t="s">
        <v>81</v>
      </c>
      <c r="E23" s="9" t="s">
        <v>94</v>
      </c>
      <c r="F23" s="9" t="s">
        <v>90</v>
      </c>
      <c r="G23" s="9" t="s">
        <v>91</v>
      </c>
      <c r="H23" s="9" t="s">
        <v>92</v>
      </c>
      <c r="I23" s="9" t="s">
        <v>93</v>
      </c>
      <c r="J23" s="9" t="s">
        <v>82</v>
      </c>
      <c r="K23" s="9" t="s">
        <v>83</v>
      </c>
      <c r="L23" s="9" t="s">
        <v>84</v>
      </c>
      <c r="M23" s="9" t="s">
        <v>85</v>
      </c>
      <c r="N23" s="27" t="s">
        <v>86</v>
      </c>
    </row>
    <row r="24" spans="1:14" x14ac:dyDescent="0.25">
      <c r="A24" s="9" t="s">
        <v>74</v>
      </c>
      <c r="B24" s="9">
        <v>100</v>
      </c>
      <c r="C24" s="9">
        <v>100</v>
      </c>
      <c r="D24" s="9">
        <v>100</v>
      </c>
      <c r="E24" s="9">
        <v>100</v>
      </c>
      <c r="F24" s="9">
        <v>100</v>
      </c>
      <c r="G24" s="9">
        <v>100</v>
      </c>
      <c r="H24" s="9">
        <v>100</v>
      </c>
      <c r="I24" s="9">
        <v>100</v>
      </c>
      <c r="J24" s="9">
        <v>100</v>
      </c>
      <c r="K24" s="9">
        <v>100</v>
      </c>
      <c r="L24" s="9">
        <v>100</v>
      </c>
      <c r="M24" s="9">
        <v>100</v>
      </c>
      <c r="N24" s="27">
        <v>100</v>
      </c>
    </row>
    <row r="25" spans="1:14" x14ac:dyDescent="0.25">
      <c r="A25" s="9" t="s">
        <v>75</v>
      </c>
      <c r="B25" s="23">
        <v>182415.15151515152</v>
      </c>
      <c r="C25" s="23">
        <v>378115.15151515149</v>
      </c>
      <c r="D25" s="23">
        <v>514600</v>
      </c>
      <c r="E25" s="23">
        <v>354515.15151515149</v>
      </c>
      <c r="F25" s="23">
        <v>600000</v>
      </c>
      <c r="G25" s="23">
        <v>1500000</v>
      </c>
      <c r="H25" s="23">
        <v>1079500</v>
      </c>
      <c r="I25" s="23">
        <v>1079500</v>
      </c>
      <c r="J25" s="23">
        <v>360000</v>
      </c>
      <c r="K25" s="23">
        <v>1100000</v>
      </c>
      <c r="L25" s="23">
        <v>500000</v>
      </c>
      <c r="M25" s="23">
        <v>700000</v>
      </c>
      <c r="N25" s="28">
        <v>600000</v>
      </c>
    </row>
    <row r="26" spans="1:14" x14ac:dyDescent="0.25">
      <c r="A26" s="9" t="s">
        <v>77</v>
      </c>
      <c r="B26" s="23">
        <f>B25/B24</f>
        <v>1824.1515151515152</v>
      </c>
      <c r="C26" s="23">
        <f>C25/C24</f>
        <v>3781.151515151515</v>
      </c>
      <c r="D26" s="23">
        <f>D25/D24</f>
        <v>5146</v>
      </c>
      <c r="E26" s="23">
        <f>E25/E24</f>
        <v>3545.151515151515</v>
      </c>
      <c r="F26" s="23">
        <f>F25/F24</f>
        <v>6000</v>
      </c>
      <c r="G26" s="23">
        <f t="shared" ref="G26" si="8">G25/G24</f>
        <v>15000</v>
      </c>
      <c r="H26" s="23">
        <f t="shared" ref="H26" si="9">H25/H24</f>
        <v>10795</v>
      </c>
      <c r="I26" s="23">
        <f t="shared" ref="I26" si="10">I25/I24</f>
        <v>10795</v>
      </c>
      <c r="J26" s="23">
        <f t="shared" ref="J26" si="11">J25/J24</f>
        <v>3600</v>
      </c>
      <c r="K26" s="23">
        <f t="shared" ref="K26" si="12">K25/K24</f>
        <v>11000</v>
      </c>
      <c r="L26" s="23">
        <f t="shared" ref="L26" si="13">L25/L24</f>
        <v>5000</v>
      </c>
      <c r="M26" s="23">
        <f t="shared" ref="M26" si="14">M25/M24</f>
        <v>7000</v>
      </c>
      <c r="N26" s="28">
        <f t="shared" ref="N26" si="15">N25/N24</f>
        <v>6000</v>
      </c>
    </row>
    <row r="27" spans="1:14" x14ac:dyDescent="0.25">
      <c r="A27" s="9" t="s">
        <v>95</v>
      </c>
      <c r="B27" s="25">
        <f>B6</f>
        <v>175</v>
      </c>
      <c r="C27" s="25">
        <f t="shared" ref="C27:N27" si="16">C6</f>
        <v>100</v>
      </c>
      <c r="D27" s="25">
        <f t="shared" si="16"/>
        <v>100</v>
      </c>
      <c r="E27" s="25">
        <f t="shared" si="16"/>
        <v>50</v>
      </c>
      <c r="F27" s="25">
        <f t="shared" si="16"/>
        <v>80</v>
      </c>
      <c r="G27" s="25">
        <f t="shared" si="16"/>
        <v>125</v>
      </c>
      <c r="H27" s="25">
        <f t="shared" si="16"/>
        <v>150</v>
      </c>
      <c r="I27" s="25">
        <f t="shared" si="16"/>
        <v>120</v>
      </c>
      <c r="J27" s="25">
        <f t="shared" si="16"/>
        <v>180</v>
      </c>
      <c r="K27" s="25">
        <f t="shared" si="16"/>
        <v>110</v>
      </c>
      <c r="L27" s="25">
        <f t="shared" si="16"/>
        <v>80</v>
      </c>
      <c r="M27" s="25">
        <f t="shared" si="16"/>
        <v>30</v>
      </c>
      <c r="N27" s="25">
        <f t="shared" si="16"/>
        <v>120</v>
      </c>
    </row>
    <row r="28" spans="1:14" x14ac:dyDescent="0.25">
      <c r="A28" s="9" t="s">
        <v>27</v>
      </c>
      <c r="B28" s="23">
        <v>59084.616666666669</v>
      </c>
      <c r="C28" s="23">
        <v>59084.616666666669</v>
      </c>
      <c r="D28" s="23">
        <v>59084.616666666669</v>
      </c>
      <c r="E28" s="23">
        <v>59084.616666666669</v>
      </c>
      <c r="F28" s="23">
        <v>59084.616666666669</v>
      </c>
      <c r="G28" s="23">
        <v>59084.616666666669</v>
      </c>
      <c r="H28" s="23">
        <v>59084.616666666669</v>
      </c>
      <c r="I28" s="23">
        <v>59084.616666666669</v>
      </c>
      <c r="J28" s="23">
        <v>59084.616666666669</v>
      </c>
      <c r="K28" s="23">
        <v>59084.616666666669</v>
      </c>
      <c r="L28" s="23">
        <v>59084.616666666669</v>
      </c>
      <c r="M28" s="23">
        <v>59084.616666666669</v>
      </c>
      <c r="N28" s="28">
        <v>59084.616666666669</v>
      </c>
    </row>
    <row r="29" spans="1:14" x14ac:dyDescent="0.25">
      <c r="A29" s="9" t="s">
        <v>107</v>
      </c>
      <c r="B29" s="34">
        <f>B26*B27</f>
        <v>319226.5151515152</v>
      </c>
      <c r="C29" s="34">
        <f t="shared" ref="C29:N29" si="17">C26*C27</f>
        <v>378115.15151515149</v>
      </c>
      <c r="D29" s="34">
        <f t="shared" si="17"/>
        <v>514600</v>
      </c>
      <c r="E29" s="34">
        <f t="shared" si="17"/>
        <v>177257.57575757575</v>
      </c>
      <c r="F29" s="34">
        <f t="shared" si="17"/>
        <v>480000</v>
      </c>
      <c r="G29" s="34">
        <f t="shared" si="17"/>
        <v>1875000</v>
      </c>
      <c r="H29" s="34">
        <f t="shared" si="17"/>
        <v>1619250</v>
      </c>
      <c r="I29" s="34">
        <f t="shared" si="17"/>
        <v>1295400</v>
      </c>
      <c r="J29" s="34">
        <f t="shared" si="17"/>
        <v>648000</v>
      </c>
      <c r="K29" s="34">
        <f t="shared" si="17"/>
        <v>1210000</v>
      </c>
      <c r="L29" s="34">
        <f t="shared" si="17"/>
        <v>400000</v>
      </c>
      <c r="M29" s="34">
        <f t="shared" si="17"/>
        <v>210000</v>
      </c>
      <c r="N29" s="34">
        <f t="shared" si="17"/>
        <v>720000</v>
      </c>
    </row>
    <row r="30" spans="1:14" x14ac:dyDescent="0.25">
      <c r="A30" s="9" t="s">
        <v>78</v>
      </c>
      <c r="B30" s="24">
        <f>SUM(B26,B28)*1.1</f>
        <v>66999.645000000004</v>
      </c>
      <c r="C30" s="24">
        <f t="shared" ref="C30:N30" si="18">SUM(C26,C28)*1.1</f>
        <v>69152.345000000001</v>
      </c>
      <c r="D30" s="24">
        <f t="shared" si="18"/>
        <v>70653.678333333344</v>
      </c>
      <c r="E30" s="24">
        <f t="shared" si="18"/>
        <v>68892.74500000001</v>
      </c>
      <c r="F30" s="24">
        <f t="shared" si="18"/>
        <v>71593.078333333338</v>
      </c>
      <c r="G30" s="24">
        <f t="shared" si="18"/>
        <v>81493.078333333338</v>
      </c>
      <c r="H30" s="24">
        <f t="shared" si="18"/>
        <v>76867.578333333338</v>
      </c>
      <c r="I30" s="24">
        <f t="shared" si="18"/>
        <v>76867.578333333338</v>
      </c>
      <c r="J30" s="24">
        <f t="shared" si="18"/>
        <v>68953.078333333338</v>
      </c>
      <c r="K30" s="24">
        <f t="shared" si="18"/>
        <v>77093.078333333338</v>
      </c>
      <c r="L30" s="24">
        <f t="shared" si="18"/>
        <v>70493.078333333338</v>
      </c>
      <c r="M30" s="24">
        <f t="shared" si="18"/>
        <v>72693.078333333338</v>
      </c>
      <c r="N30" s="24">
        <f t="shared" si="18"/>
        <v>71593.078333333338</v>
      </c>
    </row>
    <row r="31" spans="1:14" x14ac:dyDescent="0.25">
      <c r="A31" s="9" t="s">
        <v>96</v>
      </c>
      <c r="B31" s="35">
        <f>B30*B27</f>
        <v>11724937.875</v>
      </c>
      <c r="C31" s="35">
        <f t="shared" ref="C31:N31" si="19">C30*C27</f>
        <v>6915234.5</v>
      </c>
      <c r="D31" s="35">
        <f t="shared" si="19"/>
        <v>7065367.833333334</v>
      </c>
      <c r="E31" s="35">
        <f t="shared" si="19"/>
        <v>3444637.2500000005</v>
      </c>
      <c r="F31" s="35">
        <f t="shared" si="19"/>
        <v>5727446.2666666675</v>
      </c>
      <c r="G31" s="35">
        <f t="shared" si="19"/>
        <v>10186634.791666668</v>
      </c>
      <c r="H31" s="35">
        <f t="shared" si="19"/>
        <v>11530136.75</v>
      </c>
      <c r="I31" s="35">
        <f t="shared" si="19"/>
        <v>9224109.4000000004</v>
      </c>
      <c r="J31" s="35">
        <f t="shared" si="19"/>
        <v>12411554.100000001</v>
      </c>
      <c r="K31" s="35">
        <f t="shared" si="19"/>
        <v>8480238.6166666672</v>
      </c>
      <c r="L31" s="35">
        <f t="shared" si="19"/>
        <v>5639446.2666666675</v>
      </c>
      <c r="M31" s="35">
        <f t="shared" si="19"/>
        <v>2180792.35</v>
      </c>
      <c r="N31" s="36">
        <f t="shared" si="19"/>
        <v>8591169.4000000004</v>
      </c>
    </row>
    <row r="32" spans="1:14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27"/>
    </row>
    <row r="33" spans="1:14" x14ac:dyDescent="0.25">
      <c r="A33" s="9"/>
      <c r="B33" s="9" t="s">
        <v>89</v>
      </c>
      <c r="C33" s="9" t="s">
        <v>88</v>
      </c>
      <c r="D33" s="9" t="s">
        <v>87</v>
      </c>
      <c r="E33" s="9" t="s">
        <v>104</v>
      </c>
      <c r="F33" s="9" t="s">
        <v>105</v>
      </c>
      <c r="G33" s="9" t="s">
        <v>106</v>
      </c>
      <c r="H33" s="9"/>
      <c r="I33" s="9"/>
      <c r="J33" s="9"/>
      <c r="K33" s="9"/>
      <c r="L33" s="9"/>
      <c r="M33" s="9"/>
      <c r="N33" s="27"/>
    </row>
    <row r="34" spans="1:14" x14ac:dyDescent="0.25">
      <c r="A34" s="9" t="s">
        <v>74</v>
      </c>
      <c r="B34" s="9">
        <v>100</v>
      </c>
      <c r="C34" s="9">
        <v>100</v>
      </c>
      <c r="D34" s="9">
        <v>100</v>
      </c>
      <c r="E34" s="9">
        <v>100</v>
      </c>
      <c r="F34" s="9">
        <v>100</v>
      </c>
      <c r="G34" s="9">
        <v>100</v>
      </c>
      <c r="H34" s="9"/>
      <c r="I34" s="9"/>
      <c r="J34" s="9"/>
      <c r="K34" s="9"/>
      <c r="L34" s="9"/>
      <c r="M34" s="9"/>
      <c r="N34" s="27"/>
    </row>
    <row r="35" spans="1:14" x14ac:dyDescent="0.25">
      <c r="A35" s="9" t="s">
        <v>75</v>
      </c>
      <c r="B35" s="1">
        <v>1242200</v>
      </c>
      <c r="C35" s="1">
        <v>998000</v>
      </c>
      <c r="D35" s="1">
        <v>720000</v>
      </c>
      <c r="E35" s="9">
        <v>2600000</v>
      </c>
      <c r="F35" s="1">
        <v>1538000</v>
      </c>
      <c r="G35" s="1">
        <v>2812000</v>
      </c>
      <c r="H35" s="9"/>
      <c r="I35" s="9"/>
      <c r="J35" s="9"/>
      <c r="K35" s="9"/>
      <c r="L35" s="9"/>
      <c r="M35" s="9"/>
      <c r="N35" s="27"/>
    </row>
    <row r="36" spans="1:14" x14ac:dyDescent="0.25">
      <c r="A36" s="9" t="s">
        <v>77</v>
      </c>
      <c r="B36" s="1">
        <f t="shared" ref="B36" si="20">B35/B34</f>
        <v>12422</v>
      </c>
      <c r="C36" s="1">
        <f t="shared" ref="C36" si="21">C35/C34</f>
        <v>9980</v>
      </c>
      <c r="D36" s="1">
        <f t="shared" ref="D36" si="22">D35/D34</f>
        <v>7200</v>
      </c>
      <c r="E36" s="9">
        <f>E35/E34</f>
        <v>26000</v>
      </c>
      <c r="F36" s="9">
        <f t="shared" ref="F36:G36" si="23">F35/F34</f>
        <v>15380</v>
      </c>
      <c r="G36" s="9">
        <f t="shared" si="23"/>
        <v>28120</v>
      </c>
      <c r="H36" s="9"/>
      <c r="I36" s="9"/>
      <c r="J36" s="9"/>
      <c r="K36" s="9"/>
      <c r="L36" s="9"/>
      <c r="M36" s="9"/>
      <c r="N36" s="27"/>
    </row>
    <row r="37" spans="1:14" x14ac:dyDescent="0.25">
      <c r="A37" s="9" t="s">
        <v>95</v>
      </c>
      <c r="B37" s="26">
        <f>B16</f>
        <v>100</v>
      </c>
      <c r="C37" s="26">
        <f t="shared" ref="C37:G37" si="24">C16</f>
        <v>160</v>
      </c>
      <c r="D37" s="26">
        <f t="shared" si="24"/>
        <v>80</v>
      </c>
      <c r="E37" s="26">
        <f t="shared" si="24"/>
        <v>100</v>
      </c>
      <c r="F37" s="26">
        <f t="shared" si="24"/>
        <v>75</v>
      </c>
      <c r="G37" s="26">
        <f t="shared" si="24"/>
        <v>50</v>
      </c>
      <c r="H37" s="9"/>
      <c r="I37" s="9"/>
      <c r="J37" s="9"/>
      <c r="K37" s="9"/>
      <c r="L37" s="9"/>
      <c r="M37" s="9"/>
      <c r="N37" s="27"/>
    </row>
    <row r="38" spans="1:14" x14ac:dyDescent="0.25">
      <c r="A38" s="9" t="s">
        <v>27</v>
      </c>
      <c r="B38" s="23">
        <v>59084.616666666669</v>
      </c>
      <c r="C38" s="23">
        <v>59084.616666666669</v>
      </c>
      <c r="D38" s="23">
        <v>59084.616666666669</v>
      </c>
      <c r="E38" s="23">
        <v>59084.616666666669</v>
      </c>
      <c r="F38" s="23">
        <v>59084.616666666669</v>
      </c>
      <c r="G38" s="23">
        <v>59084.616666666669</v>
      </c>
      <c r="H38" s="9"/>
      <c r="I38" s="9"/>
      <c r="J38" s="9"/>
      <c r="K38" s="9"/>
      <c r="L38" s="9"/>
      <c r="M38" s="9"/>
      <c r="N38" s="27"/>
    </row>
    <row r="39" spans="1:14" x14ac:dyDescent="0.25">
      <c r="A39" s="9" t="s">
        <v>107</v>
      </c>
      <c r="B39" s="34">
        <f>B36*B37</f>
        <v>1242200</v>
      </c>
      <c r="C39" s="34">
        <f t="shared" ref="C39:G39" si="25">C36*C37</f>
        <v>1596800</v>
      </c>
      <c r="D39" s="34">
        <f t="shared" si="25"/>
        <v>576000</v>
      </c>
      <c r="E39" s="34">
        <f t="shared" si="25"/>
        <v>2600000</v>
      </c>
      <c r="F39" s="34">
        <f t="shared" si="25"/>
        <v>1153500</v>
      </c>
      <c r="G39" s="34">
        <f t="shared" si="25"/>
        <v>1406000</v>
      </c>
      <c r="H39" s="9"/>
      <c r="I39" s="9"/>
      <c r="J39" s="9"/>
      <c r="K39" s="9"/>
      <c r="L39" s="9"/>
      <c r="M39" s="9"/>
      <c r="N39" s="27"/>
    </row>
    <row r="40" spans="1:14" x14ac:dyDescent="0.25">
      <c r="A40" s="9" t="s">
        <v>78</v>
      </c>
      <c r="B40" s="4">
        <f t="shared" ref="B40:F40" si="26">SUM(B36,B38)*1.1</f>
        <v>78657.278333333335</v>
      </c>
      <c r="C40" s="4">
        <f t="shared" si="26"/>
        <v>75971.078333333338</v>
      </c>
      <c r="D40" s="4">
        <f t="shared" si="26"/>
        <v>72913.078333333338</v>
      </c>
      <c r="E40" s="4">
        <f t="shared" si="26"/>
        <v>93593.078333333338</v>
      </c>
      <c r="F40" s="4">
        <f t="shared" si="26"/>
        <v>81911.078333333338</v>
      </c>
      <c r="G40" s="4">
        <f>SUM(G36,G38)*1.1</f>
        <v>95925.078333333338</v>
      </c>
      <c r="H40" s="9"/>
      <c r="I40" s="9"/>
      <c r="J40" s="9"/>
      <c r="K40" s="9"/>
      <c r="L40" s="9"/>
      <c r="M40" s="9"/>
      <c r="N40" s="27"/>
    </row>
    <row r="41" spans="1:14" x14ac:dyDescent="0.25">
      <c r="A41" s="9" t="s">
        <v>96</v>
      </c>
      <c r="B41" s="38">
        <f>B40*B37</f>
        <v>7865727.833333334</v>
      </c>
      <c r="C41" s="38">
        <f t="shared" ref="C41:E41" si="27">C40*C37</f>
        <v>12155372.533333335</v>
      </c>
      <c r="D41" s="38">
        <f t="shared" si="27"/>
        <v>5833046.2666666675</v>
      </c>
      <c r="E41" s="38">
        <f t="shared" si="27"/>
        <v>9359307.833333334</v>
      </c>
      <c r="F41" s="38">
        <f t="shared" ref="F41" si="28">F40*F37</f>
        <v>6143330.875</v>
      </c>
      <c r="G41" s="38">
        <f t="shared" ref="G41" si="29">G40*G37</f>
        <v>4796253.916666667</v>
      </c>
      <c r="H41" s="9"/>
      <c r="I41" s="9"/>
      <c r="J41" s="9"/>
      <c r="K41" s="9"/>
      <c r="L41" s="9"/>
      <c r="M41" s="9"/>
      <c r="N41" s="9"/>
    </row>
    <row r="44" spans="1:14" x14ac:dyDescent="0.25">
      <c r="A44" s="68" t="s">
        <v>97</v>
      </c>
      <c r="B44" s="68"/>
      <c r="C44" s="32">
        <f>SUM(B10:N10,B20:G20)</f>
        <v>64105239.903787881</v>
      </c>
      <c r="E44" s="68" t="s">
        <v>95</v>
      </c>
      <c r="F44" s="68"/>
      <c r="G44" s="33">
        <f>SUM(B37:G37,B27:N27,B6:N6,B16:G16)</f>
        <v>3970</v>
      </c>
    </row>
    <row r="45" spans="1:14" x14ac:dyDescent="0.25">
      <c r="A45" s="33"/>
      <c r="B45" s="33"/>
      <c r="C45" s="33"/>
    </row>
    <row r="46" spans="1:14" x14ac:dyDescent="0.25">
      <c r="A46" s="68" t="s">
        <v>98</v>
      </c>
      <c r="B46" s="68"/>
      <c r="C46" s="32">
        <f>SUM(B31:N31,B41:G41)</f>
        <v>149274744.6583333</v>
      </c>
      <c r="E46" s="68" t="s">
        <v>107</v>
      </c>
      <c r="F46" s="68"/>
      <c r="G46" s="32">
        <f>SUM(B8:N8,B18:G18)*2</f>
        <v>36842698.484848484</v>
      </c>
    </row>
    <row r="47" spans="1:14" x14ac:dyDescent="0.25">
      <c r="A47" s="33"/>
      <c r="B47" s="33"/>
      <c r="C47" s="33"/>
    </row>
    <row r="48" spans="1:14" x14ac:dyDescent="0.25">
      <c r="A48" s="33" t="s">
        <v>99</v>
      </c>
      <c r="B48" s="33"/>
      <c r="C48" s="32">
        <f>C46+C44</f>
        <v>213379984.56212118</v>
      </c>
      <c r="E48" s="72"/>
      <c r="F48" s="72"/>
    </row>
  </sheetData>
  <mergeCells count="9">
    <mergeCell ref="E48:F48"/>
    <mergeCell ref="B22:N22"/>
    <mergeCell ref="A1:A2"/>
    <mergeCell ref="A22:A23"/>
    <mergeCell ref="A44:B44"/>
    <mergeCell ref="A46:B46"/>
    <mergeCell ref="E44:F44"/>
    <mergeCell ref="B1:N1"/>
    <mergeCell ref="E46:F4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5539-9D6D-4BE0-81F4-1091A730A617}">
  <dimension ref="A1:C12"/>
  <sheetViews>
    <sheetView workbookViewId="0">
      <selection activeCell="B12" sqref="B12"/>
    </sheetView>
  </sheetViews>
  <sheetFormatPr defaultRowHeight="15" x14ac:dyDescent="0.25"/>
  <cols>
    <col min="1" max="1" width="37" bestFit="1" customWidth="1"/>
    <col min="2" max="2" width="21" bestFit="1" customWidth="1"/>
    <col min="3" max="3" width="21.85546875" bestFit="1" customWidth="1"/>
    <col min="4" max="10" width="13.140625" bestFit="1" customWidth="1"/>
    <col min="11" max="13" width="14.140625" bestFit="1" customWidth="1"/>
  </cols>
  <sheetData>
    <row r="1" spans="1:3" x14ac:dyDescent="0.25">
      <c r="A1" s="52" t="s">
        <v>123</v>
      </c>
      <c r="B1" s="53" t="s">
        <v>136</v>
      </c>
      <c r="C1" s="9" t="s">
        <v>135</v>
      </c>
    </row>
    <row r="2" spans="1:3" x14ac:dyDescent="0.25">
      <c r="A2" s="9" t="s">
        <v>124</v>
      </c>
      <c r="B2" s="1">
        <f>1000*1500</f>
        <v>1500000</v>
      </c>
      <c r="C2" s="1"/>
    </row>
    <row r="3" spans="1:3" x14ac:dyDescent="0.25">
      <c r="A3" s="9" t="s">
        <v>125</v>
      </c>
      <c r="B3" s="1">
        <v>300000</v>
      </c>
      <c r="C3" s="1"/>
    </row>
    <row r="4" spans="1:3" x14ac:dyDescent="0.25">
      <c r="A4" s="9" t="s">
        <v>126</v>
      </c>
      <c r="B4" s="1">
        <v>250000</v>
      </c>
      <c r="C4" s="1"/>
    </row>
    <row r="5" spans="1:3" x14ac:dyDescent="0.25">
      <c r="A5" s="9" t="s">
        <v>127</v>
      </c>
      <c r="B5" s="1">
        <v>3000000</v>
      </c>
      <c r="C5" s="1"/>
    </row>
    <row r="6" spans="1:3" x14ac:dyDescent="0.25">
      <c r="A6" s="9" t="s">
        <v>128</v>
      </c>
      <c r="B6" s="1">
        <f>70*21000</f>
        <v>1470000</v>
      </c>
      <c r="C6" s="1"/>
    </row>
    <row r="7" spans="1:3" x14ac:dyDescent="0.25">
      <c r="A7" s="9" t="s">
        <v>129</v>
      </c>
      <c r="B7" s="1">
        <f>6300*200*7</f>
        <v>8820000</v>
      </c>
      <c r="C7" s="1"/>
    </row>
    <row r="8" spans="1:3" x14ac:dyDescent="0.25">
      <c r="A8" s="9" t="s">
        <v>130</v>
      </c>
      <c r="B8" s="1">
        <f>2100*50*7</f>
        <v>735000</v>
      </c>
      <c r="C8" s="1"/>
    </row>
    <row r="9" spans="1:3" x14ac:dyDescent="0.25">
      <c r="A9" s="9" t="s">
        <v>131</v>
      </c>
      <c r="B9" s="1">
        <v>30000000</v>
      </c>
      <c r="C9" s="1">
        <v>1800000</v>
      </c>
    </row>
    <row r="10" spans="1:3" x14ac:dyDescent="0.25">
      <c r="A10" s="9" t="s">
        <v>132</v>
      </c>
      <c r="B10" s="1">
        <v>3000000</v>
      </c>
      <c r="C10" s="1"/>
    </row>
    <row r="11" spans="1:3" x14ac:dyDescent="0.25">
      <c r="A11" s="9" t="s">
        <v>133</v>
      </c>
      <c r="B11" s="1">
        <v>20000000</v>
      </c>
      <c r="C11" s="1"/>
    </row>
    <row r="12" spans="1:3" x14ac:dyDescent="0.25">
      <c r="A12" s="9" t="s">
        <v>19</v>
      </c>
      <c r="B12" s="1">
        <f>SUM(B2+B3+B4+B5+B6+B7+B8+B9+B11+B10)</f>
        <v>69075000</v>
      </c>
      <c r="C12" s="1">
        <f>C9</f>
        <v>1800000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5922-183C-473B-97A1-17BE2FEE4E9A}">
  <dimension ref="A2:M22"/>
  <sheetViews>
    <sheetView workbookViewId="0">
      <selection activeCell="B17" sqref="B17"/>
    </sheetView>
  </sheetViews>
  <sheetFormatPr defaultRowHeight="15" x14ac:dyDescent="0.25"/>
  <cols>
    <col min="1" max="1" width="39.5703125" bestFit="1" customWidth="1"/>
    <col min="2" max="13" width="16.85546875" bestFit="1" customWidth="1"/>
  </cols>
  <sheetData>
    <row r="2" spans="1:13" x14ac:dyDescent="0.25">
      <c r="A2" s="73" t="s">
        <v>100</v>
      </c>
      <c r="B2" s="74" t="s">
        <v>73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x14ac:dyDescent="0.25">
      <c r="A3" s="73"/>
      <c r="B3" s="46">
        <v>7</v>
      </c>
      <c r="C3" s="46">
        <v>8</v>
      </c>
      <c r="D3" s="46">
        <v>9</v>
      </c>
      <c r="E3" s="46">
        <v>10</v>
      </c>
      <c r="F3" s="46">
        <v>11</v>
      </c>
      <c r="G3" s="46">
        <v>12</v>
      </c>
      <c r="H3" s="46">
        <v>1</v>
      </c>
      <c r="I3" s="46">
        <v>2</v>
      </c>
      <c r="J3" s="46">
        <v>3</v>
      </c>
      <c r="K3" s="46">
        <v>4</v>
      </c>
      <c r="L3" s="46">
        <v>5</v>
      </c>
      <c r="M3" s="46">
        <v>6</v>
      </c>
    </row>
    <row r="4" spans="1:13" x14ac:dyDescent="0.25">
      <c r="A4" s="46" t="s">
        <v>101</v>
      </c>
      <c r="B4" s="1">
        <v>213379984.56212118</v>
      </c>
      <c r="C4" s="1">
        <v>226031687.50999999</v>
      </c>
      <c r="D4" s="47">
        <v>247608078.61000001</v>
      </c>
      <c r="E4" s="48">
        <v>276624093.94</v>
      </c>
      <c r="F4" s="48">
        <v>258801686.88999999</v>
      </c>
      <c r="G4" s="1">
        <v>222937614.31</v>
      </c>
      <c r="H4" s="47">
        <v>247608078.61000001</v>
      </c>
      <c r="I4" s="47">
        <v>201622237.63999999</v>
      </c>
      <c r="J4" s="47">
        <v>232262448.38</v>
      </c>
      <c r="K4" s="47">
        <v>215231348.90000001</v>
      </c>
      <c r="L4" s="47">
        <v>240093975.33000001</v>
      </c>
      <c r="M4" s="47">
        <v>210553498.59</v>
      </c>
    </row>
    <row r="5" spans="1:13" x14ac:dyDescent="0.25">
      <c r="A5" s="54" t="s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6" t="s">
        <v>53</v>
      </c>
      <c r="B6" s="1">
        <v>36842698.484848484</v>
      </c>
      <c r="C6" s="1">
        <v>35671668.609999999</v>
      </c>
      <c r="D6" s="1">
        <v>42993992.119999997</v>
      </c>
      <c r="E6" s="47">
        <v>46351769.090000004</v>
      </c>
      <c r="F6" s="47">
        <v>39886565.090000004</v>
      </c>
      <c r="G6" s="1">
        <v>35724330.789999999</v>
      </c>
      <c r="H6" s="47">
        <v>42993992.119999997</v>
      </c>
      <c r="I6" s="47">
        <v>36069725.759999998</v>
      </c>
      <c r="J6" s="47">
        <v>38272760</v>
      </c>
      <c r="K6" s="47">
        <v>37326952.729999997</v>
      </c>
      <c r="L6" s="47">
        <v>45049952.729999997</v>
      </c>
      <c r="M6" s="47">
        <v>41632675.759999998</v>
      </c>
    </row>
    <row r="7" spans="1:13" x14ac:dyDescent="0.25">
      <c r="A7" s="46" t="s">
        <v>67</v>
      </c>
      <c r="B7" s="1">
        <v>3640000</v>
      </c>
      <c r="C7" s="1">
        <v>3640000</v>
      </c>
      <c r="D7" s="1">
        <v>3640000</v>
      </c>
      <c r="E7" s="1">
        <v>3640000</v>
      </c>
      <c r="F7" s="1">
        <v>3640000</v>
      </c>
      <c r="G7" s="1">
        <v>3640000</v>
      </c>
      <c r="H7" s="1">
        <v>3640000</v>
      </c>
      <c r="I7" s="1">
        <v>3640000</v>
      </c>
      <c r="J7" s="1">
        <v>3640000</v>
      </c>
      <c r="K7" s="1">
        <v>3640000</v>
      </c>
      <c r="L7" s="1">
        <v>3640000</v>
      </c>
      <c r="M7" s="1">
        <v>3640000</v>
      </c>
    </row>
    <row r="8" spans="1:13" x14ac:dyDescent="0.25">
      <c r="A8" s="46" t="s">
        <v>69</v>
      </c>
      <c r="B8" s="1">
        <v>3000000</v>
      </c>
      <c r="C8" s="1">
        <v>3000000</v>
      </c>
      <c r="D8" s="1">
        <v>3000000</v>
      </c>
      <c r="E8" s="1">
        <v>3000000</v>
      </c>
      <c r="F8" s="1">
        <v>3000000</v>
      </c>
      <c r="G8" s="1">
        <v>3000000</v>
      </c>
      <c r="H8" s="1">
        <v>3000000</v>
      </c>
      <c r="I8" s="1">
        <v>3000000</v>
      </c>
      <c r="J8" s="1">
        <v>3000000</v>
      </c>
      <c r="K8" s="1">
        <v>3000000</v>
      </c>
      <c r="L8" s="1">
        <v>3000000</v>
      </c>
      <c r="M8" s="1">
        <v>3000000</v>
      </c>
    </row>
    <row r="9" spans="1:13" x14ac:dyDescent="0.25">
      <c r="A9" s="46" t="s">
        <v>70</v>
      </c>
      <c r="B9" s="1">
        <v>3000000</v>
      </c>
      <c r="C9" s="1">
        <v>3000000</v>
      </c>
      <c r="D9" s="1">
        <v>3000000</v>
      </c>
      <c r="E9" s="1">
        <v>3000000</v>
      </c>
      <c r="F9" s="1">
        <v>3000000</v>
      </c>
      <c r="G9" s="1">
        <v>3000000</v>
      </c>
      <c r="H9" s="1">
        <v>3000000</v>
      </c>
      <c r="I9" s="1">
        <v>3000000</v>
      </c>
      <c r="J9" s="1">
        <v>3000000</v>
      </c>
      <c r="K9" s="1">
        <v>3000000</v>
      </c>
      <c r="L9" s="1">
        <v>3000000</v>
      </c>
      <c r="M9" s="1">
        <v>3000000</v>
      </c>
    </row>
    <row r="10" spans="1:13" x14ac:dyDescent="0.25">
      <c r="A10" s="46" t="s">
        <v>55</v>
      </c>
      <c r="B10" s="1">
        <v>2956000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46" t="s">
        <v>56</v>
      </c>
      <c r="B11" s="1">
        <v>10000000</v>
      </c>
      <c r="C11" s="1">
        <v>7000000</v>
      </c>
      <c r="D11" s="1">
        <v>7000000</v>
      </c>
      <c r="E11" s="1">
        <v>7000000</v>
      </c>
      <c r="F11" s="1">
        <v>7000000</v>
      </c>
      <c r="G11" s="1">
        <v>7000000</v>
      </c>
      <c r="H11" s="1">
        <v>7000000</v>
      </c>
      <c r="I11" s="1">
        <v>7000000</v>
      </c>
      <c r="J11" s="1">
        <v>7000000</v>
      </c>
      <c r="K11" s="1">
        <v>7000000</v>
      </c>
      <c r="L11" s="1">
        <v>7000000</v>
      </c>
      <c r="M11" s="1">
        <v>7000000</v>
      </c>
    </row>
    <row r="12" spans="1:13" x14ac:dyDescent="0.25">
      <c r="A12" s="46" t="s">
        <v>57</v>
      </c>
      <c r="B12" s="1">
        <v>12000000</v>
      </c>
      <c r="C12" s="1">
        <v>12000000</v>
      </c>
      <c r="D12" s="1">
        <v>12000000</v>
      </c>
      <c r="E12" s="1">
        <v>12000000</v>
      </c>
      <c r="F12" s="1">
        <v>12000000</v>
      </c>
      <c r="G12" s="1">
        <v>12000000</v>
      </c>
      <c r="H12" s="1">
        <v>12000000</v>
      </c>
      <c r="I12" s="1">
        <v>12000000</v>
      </c>
      <c r="J12" s="1">
        <v>12000000</v>
      </c>
      <c r="K12" s="1">
        <v>12000000</v>
      </c>
      <c r="L12" s="1">
        <v>12000000</v>
      </c>
      <c r="M12" s="1">
        <v>12000000</v>
      </c>
    </row>
    <row r="13" spans="1:13" x14ac:dyDescent="0.25">
      <c r="A13" s="46" t="s">
        <v>58</v>
      </c>
      <c r="B13" s="1">
        <v>500000</v>
      </c>
      <c r="C13" s="1">
        <v>500000</v>
      </c>
      <c r="D13" s="1">
        <v>500000</v>
      </c>
      <c r="E13" s="1">
        <v>500000</v>
      </c>
      <c r="F13" s="1">
        <v>500000</v>
      </c>
      <c r="G13" s="1">
        <v>500000</v>
      </c>
      <c r="H13" s="1">
        <v>500000</v>
      </c>
      <c r="I13" s="1">
        <v>500000</v>
      </c>
      <c r="J13" s="1">
        <v>500000</v>
      </c>
      <c r="K13" s="1">
        <v>500000</v>
      </c>
      <c r="L13" s="1">
        <v>500000</v>
      </c>
      <c r="M13" s="1">
        <v>500000</v>
      </c>
    </row>
    <row r="14" spans="1:13" x14ac:dyDescent="0.25">
      <c r="A14" s="46" t="s">
        <v>59</v>
      </c>
      <c r="B14" s="1">
        <v>25000000</v>
      </c>
      <c r="C14" s="1">
        <v>25000000</v>
      </c>
      <c r="D14" s="1">
        <v>25000000</v>
      </c>
      <c r="E14" s="1">
        <v>25000000</v>
      </c>
      <c r="F14" s="1">
        <v>25000000</v>
      </c>
      <c r="G14" s="1">
        <v>25000000</v>
      </c>
      <c r="H14" s="1">
        <v>25000000</v>
      </c>
      <c r="I14" s="1">
        <v>25000000</v>
      </c>
      <c r="J14" s="1">
        <v>25000000</v>
      </c>
      <c r="K14" s="1">
        <v>25000000</v>
      </c>
      <c r="L14" s="1">
        <v>25000000</v>
      </c>
      <c r="M14" s="1">
        <v>25000000</v>
      </c>
    </row>
    <row r="15" spans="1:13" x14ac:dyDescent="0.25">
      <c r="A15" s="46" t="s">
        <v>0</v>
      </c>
      <c r="B15" s="1">
        <v>51911700</v>
      </c>
      <c r="C15" s="1">
        <v>51911700</v>
      </c>
      <c r="D15" s="1">
        <v>51911700</v>
      </c>
      <c r="E15" s="1">
        <v>51911700</v>
      </c>
      <c r="F15" s="1">
        <v>51911700</v>
      </c>
      <c r="G15" s="1">
        <v>51911700</v>
      </c>
      <c r="H15" s="1">
        <v>51911700</v>
      </c>
      <c r="I15" s="1">
        <v>51911700</v>
      </c>
      <c r="J15" s="1">
        <v>51911700</v>
      </c>
      <c r="K15" s="1">
        <v>51911700</v>
      </c>
      <c r="L15" s="1">
        <v>51911700</v>
      </c>
      <c r="M15" s="1">
        <v>51911700</v>
      </c>
    </row>
    <row r="16" spans="1:13" x14ac:dyDescent="0.25">
      <c r="A16" s="46" t="s">
        <v>60</v>
      </c>
      <c r="B16" s="1">
        <v>2000000</v>
      </c>
      <c r="C16" s="1">
        <v>2000000</v>
      </c>
      <c r="D16" s="1">
        <v>2000000</v>
      </c>
      <c r="E16" s="1">
        <v>2000000</v>
      </c>
      <c r="F16" s="1">
        <v>2000000</v>
      </c>
      <c r="G16" s="1">
        <v>2000000</v>
      </c>
      <c r="H16" s="1">
        <v>2000000</v>
      </c>
      <c r="I16" s="1">
        <v>2000000</v>
      </c>
      <c r="J16" s="1">
        <v>2000000</v>
      </c>
      <c r="K16" s="1">
        <v>2000000</v>
      </c>
      <c r="L16" s="1">
        <v>2000000</v>
      </c>
      <c r="M16" s="1">
        <v>2000000</v>
      </c>
    </row>
    <row r="17" spans="1:13" x14ac:dyDescent="0.25">
      <c r="A17" s="46" t="s">
        <v>61</v>
      </c>
      <c r="B17" s="1">
        <v>69075000</v>
      </c>
      <c r="C17" s="1">
        <v>18000000</v>
      </c>
      <c r="D17" s="1">
        <v>18000000</v>
      </c>
      <c r="E17" s="1">
        <v>18000000</v>
      </c>
      <c r="F17" s="1">
        <v>18000000</v>
      </c>
      <c r="G17" s="1">
        <v>18000000</v>
      </c>
      <c r="H17" s="1">
        <v>18000000</v>
      </c>
      <c r="I17" s="1">
        <v>18000000</v>
      </c>
      <c r="J17" s="1">
        <v>18000000</v>
      </c>
      <c r="K17" s="1">
        <v>18000000</v>
      </c>
      <c r="L17" s="1">
        <v>18000000</v>
      </c>
      <c r="M17" s="1">
        <v>18000000</v>
      </c>
    </row>
    <row r="18" spans="1:13" x14ac:dyDescent="0.25">
      <c r="A18" s="46" t="s">
        <v>110</v>
      </c>
      <c r="B18" s="1">
        <f>3970*10000</f>
        <v>39700000</v>
      </c>
      <c r="C18" s="1">
        <f>4016*10000</f>
        <v>40160000</v>
      </c>
      <c r="D18" s="1">
        <f>3432*10000</f>
        <v>34320000</v>
      </c>
      <c r="E18" s="47">
        <f>4856*10000</f>
        <v>48560000</v>
      </c>
      <c r="F18" s="1">
        <f>4632*10000</f>
        <v>46320000</v>
      </c>
      <c r="G18" s="1">
        <f>4146*10000</f>
        <v>41460000</v>
      </c>
      <c r="H18" s="1">
        <f>2910*10000</f>
        <v>29100000</v>
      </c>
      <c r="I18" s="1">
        <f>3720*10000</f>
        <v>37200000</v>
      </c>
      <c r="J18" s="1">
        <f>4360*10000</f>
        <v>43600000</v>
      </c>
      <c r="K18" s="1">
        <f>4000*10000</f>
        <v>40000000</v>
      </c>
      <c r="L18" s="1">
        <f>4380*10000</f>
        <v>43800000</v>
      </c>
      <c r="M18" s="1">
        <f>3790*10000</f>
        <v>37900000</v>
      </c>
    </row>
    <row r="19" spans="1:13" x14ac:dyDescent="0.25">
      <c r="A19" s="46" t="s">
        <v>111</v>
      </c>
      <c r="B19" s="1">
        <v>4772982.638888889</v>
      </c>
      <c r="C19" s="1">
        <v>4772982.638888889</v>
      </c>
      <c r="D19" s="1">
        <v>4772982.638888889</v>
      </c>
      <c r="E19" s="1">
        <v>4772982.638888889</v>
      </c>
      <c r="F19" s="1">
        <v>4772982.638888889</v>
      </c>
      <c r="G19" s="1">
        <v>4772982.638888889</v>
      </c>
      <c r="H19" s="1">
        <v>4772982.638888889</v>
      </c>
      <c r="I19" s="1">
        <v>4772982.638888889</v>
      </c>
      <c r="J19" s="1">
        <v>4772982.638888889</v>
      </c>
      <c r="K19" s="1">
        <v>4772982.638888889</v>
      </c>
      <c r="L19" s="1">
        <v>4772982.638888889</v>
      </c>
      <c r="M19" s="1">
        <v>4772982.638888889</v>
      </c>
    </row>
    <row r="20" spans="1:13" x14ac:dyDescent="0.25">
      <c r="A20" s="46" t="s">
        <v>122</v>
      </c>
      <c r="B20" s="1">
        <v>10000000</v>
      </c>
      <c r="C20" s="1">
        <v>10000000</v>
      </c>
      <c r="D20" s="1">
        <v>10000000</v>
      </c>
      <c r="E20" s="1">
        <v>10000000</v>
      </c>
      <c r="F20" s="1">
        <v>10000000</v>
      </c>
      <c r="G20" s="1">
        <v>10000000</v>
      </c>
      <c r="H20" s="1">
        <v>10000000</v>
      </c>
      <c r="I20" s="1">
        <v>10000000</v>
      </c>
      <c r="J20" s="1">
        <v>10000000</v>
      </c>
      <c r="K20" s="1">
        <v>10000000</v>
      </c>
      <c r="L20" s="1">
        <v>10000000</v>
      </c>
      <c r="M20" s="1">
        <v>10000000</v>
      </c>
    </row>
    <row r="21" spans="1:13" x14ac:dyDescent="0.25">
      <c r="A21" s="46" t="s">
        <v>76</v>
      </c>
      <c r="B21" s="40">
        <f>SUM(B6:B20)</f>
        <v>274398381.12373739</v>
      </c>
      <c r="C21" s="40">
        <f t="shared" ref="C21:M21" si="0">SUM(C6:C20)</f>
        <v>216656351.24888891</v>
      </c>
      <c r="D21" s="40">
        <f t="shared" si="0"/>
        <v>218138674.7588889</v>
      </c>
      <c r="E21" s="40">
        <f t="shared" si="0"/>
        <v>235736451.7288889</v>
      </c>
      <c r="F21" s="40">
        <f t="shared" si="0"/>
        <v>227031247.7288889</v>
      </c>
      <c r="G21" s="40">
        <f t="shared" si="0"/>
        <v>218009013.42888889</v>
      </c>
      <c r="H21" s="40">
        <f t="shared" si="0"/>
        <v>212918674.7588889</v>
      </c>
      <c r="I21" s="40">
        <f t="shared" si="0"/>
        <v>214094408.39888889</v>
      </c>
      <c r="J21" s="40">
        <f t="shared" si="0"/>
        <v>222697442.6388889</v>
      </c>
      <c r="K21" s="40">
        <f t="shared" si="0"/>
        <v>218151635.36888888</v>
      </c>
      <c r="L21" s="40">
        <f t="shared" si="0"/>
        <v>229674635.36888888</v>
      </c>
      <c r="M21" s="40">
        <f t="shared" si="0"/>
        <v>220357358.39888889</v>
      </c>
    </row>
    <row r="22" spans="1:13" x14ac:dyDescent="0.25">
      <c r="A22" s="46" t="s">
        <v>109</v>
      </c>
      <c r="B22" s="55">
        <f t="shared" ref="B22:M22" si="1">B4-B21</f>
        <v>-61018396.561616212</v>
      </c>
      <c r="C22" s="55">
        <f t="shared" si="1"/>
        <v>9375336.2611110806</v>
      </c>
      <c r="D22" s="55">
        <f t="shared" si="1"/>
        <v>29469403.851111114</v>
      </c>
      <c r="E22" s="55">
        <f t="shared" si="1"/>
        <v>40887642.211111099</v>
      </c>
      <c r="F22" s="55">
        <f t="shared" si="1"/>
        <v>31770439.161111087</v>
      </c>
      <c r="G22" s="55">
        <f t="shared" si="1"/>
        <v>4928600.8811111152</v>
      </c>
      <c r="H22" s="55">
        <f t="shared" si="1"/>
        <v>34689403.851111114</v>
      </c>
      <c r="I22" s="55">
        <f t="shared" si="1"/>
        <v>-12472170.7588889</v>
      </c>
      <c r="J22" s="55">
        <f t="shared" si="1"/>
        <v>9565005.7411110997</v>
      </c>
      <c r="K22" s="55">
        <f t="shared" si="1"/>
        <v>-2920286.4688888788</v>
      </c>
      <c r="L22" s="55">
        <f t="shared" si="1"/>
        <v>10419339.961111128</v>
      </c>
      <c r="M22" s="55">
        <f t="shared" si="1"/>
        <v>-9803859.8088888824</v>
      </c>
    </row>
  </sheetData>
  <mergeCells count="2">
    <mergeCell ref="A2:A3"/>
    <mergeCell ref="B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4B4C-6025-416B-ABD6-F37309A3DF99}">
  <dimension ref="A1:O24"/>
  <sheetViews>
    <sheetView tabSelected="1" workbookViewId="0">
      <selection activeCell="F20" sqref="F20"/>
    </sheetView>
  </sheetViews>
  <sheetFormatPr defaultRowHeight="15" x14ac:dyDescent="0.25"/>
  <cols>
    <col min="1" max="1" width="13.28515625" customWidth="1"/>
    <col min="2" max="2" width="39.5703125" bestFit="1" customWidth="1"/>
    <col min="3" max="3" width="18.7109375" bestFit="1" customWidth="1"/>
    <col min="4" max="15" width="16.85546875" bestFit="1" customWidth="1"/>
  </cols>
  <sheetData>
    <row r="1" spans="1:15" x14ac:dyDescent="0.25">
      <c r="A1" s="9"/>
      <c r="B1" s="73" t="s">
        <v>100</v>
      </c>
      <c r="C1" s="74" t="s">
        <v>73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46"/>
    </row>
    <row r="2" spans="1:15" x14ac:dyDescent="0.25">
      <c r="A2" s="9"/>
      <c r="B2" s="73"/>
      <c r="C2" s="46">
        <v>6</v>
      </c>
      <c r="D2" s="46">
        <v>7</v>
      </c>
      <c r="E2" s="46">
        <v>8</v>
      </c>
      <c r="F2" s="46">
        <v>9</v>
      </c>
      <c r="G2" s="46">
        <v>10</v>
      </c>
      <c r="H2" s="46">
        <v>11</v>
      </c>
      <c r="I2" s="46">
        <v>12</v>
      </c>
      <c r="J2" s="46">
        <v>1</v>
      </c>
      <c r="K2" s="46">
        <v>2</v>
      </c>
      <c r="L2" s="46">
        <v>3</v>
      </c>
      <c r="M2" s="46">
        <v>4</v>
      </c>
      <c r="N2" s="46">
        <v>5</v>
      </c>
      <c r="O2" s="46">
        <v>6</v>
      </c>
    </row>
    <row r="3" spans="1:15" x14ac:dyDescent="0.25">
      <c r="A3" s="75" t="s">
        <v>116</v>
      </c>
      <c r="B3" s="9" t="s">
        <v>117</v>
      </c>
      <c r="C3" s="1">
        <v>420000000</v>
      </c>
      <c r="D3" s="1">
        <f t="shared" ref="D3:O3" si="0">C22</f>
        <v>-15454750</v>
      </c>
      <c r="E3" s="1">
        <f t="shared" si="0"/>
        <v>-61700163.922727317</v>
      </c>
      <c r="F3" s="1">
        <f t="shared" si="0"/>
        <v>-37551845.02272734</v>
      </c>
      <c r="G3" s="1">
        <f t="shared" si="0"/>
        <v>6690541.4672726691</v>
      </c>
      <c r="H3" s="1">
        <f t="shared" si="0"/>
        <v>62351166.317272693</v>
      </c>
      <c r="I3" s="1">
        <f t="shared" si="0"/>
        <v>108894588.11727265</v>
      </c>
      <c r="J3" s="1">
        <f t="shared" si="0"/>
        <v>128596171.63727269</v>
      </c>
      <c r="K3" s="1">
        <f t="shared" si="0"/>
        <v>178058558.12727273</v>
      </c>
      <c r="L3" s="1">
        <f t="shared" si="0"/>
        <v>180359370.00727272</v>
      </c>
      <c r="M3" s="1">
        <f t="shared" si="0"/>
        <v>204697358.38727272</v>
      </c>
      <c r="N3" s="1">
        <f t="shared" si="0"/>
        <v>216550054.5572727</v>
      </c>
      <c r="O3" s="1">
        <f t="shared" si="0"/>
        <v>241742377.15727273</v>
      </c>
    </row>
    <row r="4" spans="1:15" x14ac:dyDescent="0.25">
      <c r="A4" s="75"/>
      <c r="B4" s="9" t="s">
        <v>118</v>
      </c>
      <c r="C4" s="1"/>
      <c r="D4" s="1">
        <v>213379984.56212118</v>
      </c>
      <c r="E4" s="1">
        <v>226031687.50999999</v>
      </c>
      <c r="F4" s="47">
        <v>247608078.61000001</v>
      </c>
      <c r="G4" s="47">
        <v>276624093.94</v>
      </c>
      <c r="H4" s="47">
        <v>258801686.88999999</v>
      </c>
      <c r="I4" s="1">
        <v>222937614.31</v>
      </c>
      <c r="J4" s="47">
        <v>247608078.61000001</v>
      </c>
      <c r="K4" s="47">
        <v>201622237.63999999</v>
      </c>
      <c r="L4" s="47">
        <v>232262448.38</v>
      </c>
      <c r="M4" s="47">
        <v>215231348.90000001</v>
      </c>
      <c r="N4" s="47">
        <v>240093975.33000001</v>
      </c>
      <c r="O4" s="47">
        <v>210553498.59</v>
      </c>
    </row>
    <row r="5" spans="1:15" x14ac:dyDescent="0.25">
      <c r="A5" s="75"/>
      <c r="B5" s="9" t="s">
        <v>119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75"/>
      <c r="B6" s="49" t="s">
        <v>19</v>
      </c>
      <c r="C6" s="50">
        <f>SUM(C3:C5)</f>
        <v>420000000</v>
      </c>
      <c r="D6" s="50">
        <f t="shared" ref="D6:O6" si="1">SUM(D3:D5)</f>
        <v>197925234.56212118</v>
      </c>
      <c r="E6" s="50">
        <f t="shared" si="1"/>
        <v>164331523.58727267</v>
      </c>
      <c r="F6" s="50">
        <f t="shared" si="1"/>
        <v>210056233.58727267</v>
      </c>
      <c r="G6" s="50">
        <f t="shared" si="1"/>
        <v>283314635.4072727</v>
      </c>
      <c r="H6" s="50">
        <f t="shared" si="1"/>
        <v>321152853.20727265</v>
      </c>
      <c r="I6" s="50">
        <f t="shared" si="1"/>
        <v>331832202.42727268</v>
      </c>
      <c r="J6" s="50">
        <f t="shared" si="1"/>
        <v>376204250.24727273</v>
      </c>
      <c r="K6" s="50">
        <f t="shared" si="1"/>
        <v>379680795.76727271</v>
      </c>
      <c r="L6" s="50">
        <f t="shared" si="1"/>
        <v>412621818.38727272</v>
      </c>
      <c r="M6" s="50">
        <f t="shared" si="1"/>
        <v>419928707.28727269</v>
      </c>
      <c r="N6" s="50">
        <f t="shared" si="1"/>
        <v>456644029.88727272</v>
      </c>
      <c r="O6" s="50">
        <f t="shared" si="1"/>
        <v>452295875.74727273</v>
      </c>
    </row>
    <row r="7" spans="1:15" x14ac:dyDescent="0.25">
      <c r="A7" s="75" t="s">
        <v>120</v>
      </c>
      <c r="B7" s="9" t="s">
        <v>53</v>
      </c>
      <c r="C7" s="1"/>
      <c r="D7" s="1">
        <v>36842698.484848484</v>
      </c>
      <c r="E7" s="1">
        <v>35671668.609999999</v>
      </c>
      <c r="F7" s="1">
        <v>42993992.119999997</v>
      </c>
      <c r="G7" s="47">
        <v>46351769.090000004</v>
      </c>
      <c r="H7" s="47">
        <v>39886565.090000004</v>
      </c>
      <c r="I7" s="1">
        <v>35724330.789999999</v>
      </c>
      <c r="J7" s="47">
        <v>42993992.119999997</v>
      </c>
      <c r="K7" s="47">
        <v>36069725.759999998</v>
      </c>
      <c r="L7" s="47">
        <v>38272760</v>
      </c>
      <c r="M7" s="47">
        <v>37326952.729999997</v>
      </c>
      <c r="N7" s="47">
        <v>45049952.729999997</v>
      </c>
      <c r="O7" s="47">
        <v>41632675.759999998</v>
      </c>
    </row>
    <row r="8" spans="1:15" x14ac:dyDescent="0.25">
      <c r="A8" s="75"/>
      <c r="B8" s="9" t="s">
        <v>67</v>
      </c>
      <c r="C8" s="1"/>
      <c r="D8" s="1">
        <v>3640000</v>
      </c>
      <c r="E8" s="1">
        <v>3640000</v>
      </c>
      <c r="F8" s="1">
        <v>3640000</v>
      </c>
      <c r="G8" s="1">
        <v>3640000</v>
      </c>
      <c r="H8" s="1">
        <v>3640000</v>
      </c>
      <c r="I8" s="1">
        <v>3640000</v>
      </c>
      <c r="J8" s="1">
        <v>3640000</v>
      </c>
      <c r="K8" s="1">
        <v>3640000</v>
      </c>
      <c r="L8" s="1">
        <v>3640000</v>
      </c>
      <c r="M8" s="1">
        <v>3640000</v>
      </c>
      <c r="N8" s="1">
        <v>3640000</v>
      </c>
      <c r="O8" s="1">
        <v>3640000</v>
      </c>
    </row>
    <row r="9" spans="1:15" x14ac:dyDescent="0.25">
      <c r="A9" s="75"/>
      <c r="B9" s="9" t="s">
        <v>69</v>
      </c>
      <c r="C9" s="1"/>
      <c r="D9" s="1">
        <v>3000000</v>
      </c>
      <c r="E9" s="1">
        <v>3000000</v>
      </c>
      <c r="F9" s="1">
        <v>3000000</v>
      </c>
      <c r="G9" s="1">
        <v>3000000</v>
      </c>
      <c r="H9" s="1">
        <v>3000000</v>
      </c>
      <c r="I9" s="1">
        <v>3000000</v>
      </c>
      <c r="J9" s="1">
        <v>3000000</v>
      </c>
      <c r="K9" s="1">
        <v>3000000</v>
      </c>
      <c r="L9" s="1">
        <v>3000000</v>
      </c>
      <c r="M9" s="1">
        <v>3000000</v>
      </c>
      <c r="N9" s="1">
        <v>3000000</v>
      </c>
      <c r="O9" s="1">
        <v>3000000</v>
      </c>
    </row>
    <row r="10" spans="1:15" x14ac:dyDescent="0.25">
      <c r="A10" s="75"/>
      <c r="B10" s="9" t="s">
        <v>70</v>
      </c>
      <c r="C10" s="1"/>
      <c r="D10" s="1">
        <v>3000000</v>
      </c>
      <c r="E10" s="1">
        <v>3000000</v>
      </c>
      <c r="F10" s="1">
        <v>3000000</v>
      </c>
      <c r="G10" s="1">
        <v>3000000</v>
      </c>
      <c r="H10" s="1">
        <v>3000000</v>
      </c>
      <c r="I10" s="1">
        <v>3000000</v>
      </c>
      <c r="J10" s="1">
        <v>3000000</v>
      </c>
      <c r="K10" s="1">
        <v>3000000</v>
      </c>
      <c r="L10" s="1">
        <v>3000000</v>
      </c>
      <c r="M10" s="1">
        <v>3000000</v>
      </c>
      <c r="N10" s="1">
        <v>3000000</v>
      </c>
      <c r="O10" s="1">
        <v>3000000</v>
      </c>
    </row>
    <row r="11" spans="1:15" x14ac:dyDescent="0.25">
      <c r="A11" s="75"/>
      <c r="B11" s="9" t="s">
        <v>55</v>
      </c>
      <c r="C11" s="1"/>
      <c r="D11" s="1">
        <v>2956000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75"/>
      <c r="B12" s="9" t="s">
        <v>56</v>
      </c>
      <c r="C12" s="1"/>
      <c r="D12" s="1">
        <v>10000000</v>
      </c>
      <c r="E12" s="1">
        <v>7000000</v>
      </c>
      <c r="F12" s="1">
        <v>7000000</v>
      </c>
      <c r="G12" s="1">
        <v>7000000</v>
      </c>
      <c r="H12" s="1">
        <v>7000000</v>
      </c>
      <c r="I12" s="1">
        <v>7000000</v>
      </c>
      <c r="J12" s="1">
        <v>7000000</v>
      </c>
      <c r="K12" s="1">
        <v>7000000</v>
      </c>
      <c r="L12" s="1">
        <v>7000000</v>
      </c>
      <c r="M12" s="1">
        <v>7000000</v>
      </c>
      <c r="N12" s="1">
        <v>7000000</v>
      </c>
      <c r="O12" s="1">
        <v>7000000</v>
      </c>
    </row>
    <row r="13" spans="1:15" x14ac:dyDescent="0.25">
      <c r="A13" s="75"/>
      <c r="B13" s="9" t="s">
        <v>57</v>
      </c>
      <c r="C13" s="1"/>
      <c r="D13" s="1">
        <v>12000000</v>
      </c>
      <c r="E13" s="1">
        <v>12000000</v>
      </c>
      <c r="F13" s="1">
        <v>12000000</v>
      </c>
      <c r="G13" s="1">
        <v>12000000</v>
      </c>
      <c r="H13" s="1">
        <v>12000000</v>
      </c>
      <c r="I13" s="1">
        <v>12000000</v>
      </c>
      <c r="J13" s="1">
        <v>12000000</v>
      </c>
      <c r="K13" s="1">
        <v>12000000</v>
      </c>
      <c r="L13" s="1">
        <v>12000000</v>
      </c>
      <c r="M13" s="1">
        <v>12000000</v>
      </c>
      <c r="N13" s="1">
        <v>12000000</v>
      </c>
      <c r="O13" s="1">
        <v>12000000</v>
      </c>
    </row>
    <row r="14" spans="1:15" x14ac:dyDescent="0.25">
      <c r="A14" s="75"/>
      <c r="B14" s="9" t="s">
        <v>58</v>
      </c>
      <c r="C14" s="1"/>
      <c r="D14" s="1">
        <v>500000</v>
      </c>
      <c r="E14" s="1">
        <v>500000</v>
      </c>
      <c r="F14" s="1">
        <v>500000</v>
      </c>
      <c r="G14" s="1">
        <v>500000</v>
      </c>
      <c r="H14" s="1">
        <v>500000</v>
      </c>
      <c r="I14" s="1">
        <v>500000</v>
      </c>
      <c r="J14" s="1">
        <v>500000</v>
      </c>
      <c r="K14" s="1">
        <v>500000</v>
      </c>
      <c r="L14" s="1">
        <v>500000</v>
      </c>
      <c r="M14" s="1">
        <v>500000</v>
      </c>
      <c r="N14" s="1">
        <v>500000</v>
      </c>
      <c r="O14" s="1">
        <v>500000</v>
      </c>
    </row>
    <row r="15" spans="1:15" x14ac:dyDescent="0.25">
      <c r="A15" s="75"/>
      <c r="B15" s="9" t="s">
        <v>59</v>
      </c>
      <c r="C15" s="1"/>
      <c r="D15" s="1">
        <v>25000000</v>
      </c>
      <c r="E15" s="1">
        <v>25000000</v>
      </c>
      <c r="F15" s="1">
        <v>25000000</v>
      </c>
      <c r="G15" s="1">
        <v>25000000</v>
      </c>
      <c r="H15" s="1">
        <v>25000000</v>
      </c>
      <c r="I15" s="1">
        <v>25000000</v>
      </c>
      <c r="J15" s="1">
        <v>25000000</v>
      </c>
      <c r="K15" s="1">
        <v>25000000</v>
      </c>
      <c r="L15" s="1">
        <v>25000000</v>
      </c>
      <c r="M15" s="1">
        <v>25000000</v>
      </c>
      <c r="N15" s="1">
        <v>25000000</v>
      </c>
      <c r="O15" s="1">
        <v>25000000</v>
      </c>
    </row>
    <row r="16" spans="1:15" x14ac:dyDescent="0.25">
      <c r="A16" s="75"/>
      <c r="B16" s="9" t="s">
        <v>0</v>
      </c>
      <c r="C16" s="1"/>
      <c r="D16" s="1">
        <v>51911700</v>
      </c>
      <c r="E16" s="1">
        <v>51911700</v>
      </c>
      <c r="F16" s="1">
        <v>51911700</v>
      </c>
      <c r="G16" s="1">
        <v>51911700</v>
      </c>
      <c r="H16" s="1">
        <v>51911700</v>
      </c>
      <c r="I16" s="1">
        <v>51911700</v>
      </c>
      <c r="J16" s="1">
        <v>51911700</v>
      </c>
      <c r="K16" s="1">
        <v>51911700</v>
      </c>
      <c r="L16" s="1">
        <v>51911700</v>
      </c>
      <c r="M16" s="1">
        <v>51911700</v>
      </c>
      <c r="N16" s="1">
        <v>51911700</v>
      </c>
      <c r="O16" s="1">
        <v>51911700</v>
      </c>
    </row>
    <row r="17" spans="1:15" x14ac:dyDescent="0.25">
      <c r="A17" s="75"/>
      <c r="B17" s="9" t="s">
        <v>60</v>
      </c>
      <c r="C17" s="1"/>
      <c r="D17" s="1">
        <v>2000000</v>
      </c>
      <c r="E17" s="1">
        <v>2000000</v>
      </c>
      <c r="F17" s="1">
        <v>2000000</v>
      </c>
      <c r="G17" s="1">
        <v>2000000</v>
      </c>
      <c r="H17" s="1">
        <v>2000000</v>
      </c>
      <c r="I17" s="1">
        <v>2000000</v>
      </c>
      <c r="J17" s="1">
        <v>2000000</v>
      </c>
      <c r="K17" s="1">
        <v>2000000</v>
      </c>
      <c r="L17" s="1">
        <v>2000000</v>
      </c>
      <c r="M17" s="1">
        <v>2000000</v>
      </c>
      <c r="N17" s="1">
        <v>2000000</v>
      </c>
      <c r="O17" s="1">
        <v>2000000</v>
      </c>
    </row>
    <row r="18" spans="1:15" x14ac:dyDescent="0.25">
      <c r="A18" s="75"/>
      <c r="B18" s="9" t="s">
        <v>61</v>
      </c>
      <c r="C18" s="1"/>
      <c r="D18" s="1">
        <v>69075000</v>
      </c>
      <c r="E18" s="1">
        <v>18000000</v>
      </c>
      <c r="F18" s="1">
        <v>18000000</v>
      </c>
      <c r="G18" s="1">
        <v>18000000</v>
      </c>
      <c r="H18" s="1">
        <v>18000000</v>
      </c>
      <c r="I18" s="1">
        <v>18000000</v>
      </c>
      <c r="J18" s="1">
        <v>18000000</v>
      </c>
      <c r="K18" s="1">
        <v>18000000</v>
      </c>
      <c r="L18" s="1">
        <v>18000000</v>
      </c>
      <c r="M18" s="1">
        <v>18000000</v>
      </c>
      <c r="N18" s="1">
        <v>18000000</v>
      </c>
      <c r="O18" s="1">
        <v>18000000</v>
      </c>
    </row>
    <row r="19" spans="1:15" x14ac:dyDescent="0.25">
      <c r="A19" s="75"/>
      <c r="B19" s="9" t="s">
        <v>110</v>
      </c>
      <c r="C19" s="1"/>
      <c r="D19" s="1">
        <v>39700000</v>
      </c>
      <c r="E19" s="1">
        <v>40160000</v>
      </c>
      <c r="F19" s="1">
        <v>34320000</v>
      </c>
      <c r="G19" s="47">
        <v>48560000</v>
      </c>
      <c r="H19" s="1">
        <v>46320000</v>
      </c>
      <c r="I19" s="1">
        <v>41460000</v>
      </c>
      <c r="J19" s="1">
        <v>29100000</v>
      </c>
      <c r="K19" s="1">
        <v>37200000</v>
      </c>
      <c r="L19" s="1">
        <v>43600000</v>
      </c>
      <c r="M19" s="1">
        <v>40000000</v>
      </c>
      <c r="N19" s="1">
        <v>43800000</v>
      </c>
      <c r="O19" s="1">
        <v>37900000</v>
      </c>
    </row>
    <row r="20" spans="1:15" x14ac:dyDescent="0.25">
      <c r="A20" s="75"/>
      <c r="B20" s="9" t="s">
        <v>134</v>
      </c>
      <c r="C20" s="1">
        <v>435454750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75"/>
      <c r="B21" s="49" t="s">
        <v>102</v>
      </c>
      <c r="C21" s="50">
        <f t="shared" ref="C21:O21" si="2">SUM(C7:C20)</f>
        <v>435454750</v>
      </c>
      <c r="D21" s="50">
        <f t="shared" si="2"/>
        <v>259625398.4848485</v>
      </c>
      <c r="E21" s="50">
        <f t="shared" si="2"/>
        <v>201883368.61000001</v>
      </c>
      <c r="F21" s="50">
        <f t="shared" si="2"/>
        <v>203365692.12</v>
      </c>
      <c r="G21" s="50">
        <f t="shared" si="2"/>
        <v>220963469.09</v>
      </c>
      <c r="H21" s="50">
        <f t="shared" si="2"/>
        <v>212258265.09</v>
      </c>
      <c r="I21" s="50">
        <f t="shared" si="2"/>
        <v>203236030.78999999</v>
      </c>
      <c r="J21" s="50">
        <f t="shared" si="2"/>
        <v>198145692.12</v>
      </c>
      <c r="K21" s="50">
        <f t="shared" si="2"/>
        <v>199321425.75999999</v>
      </c>
      <c r="L21" s="50">
        <f t="shared" si="2"/>
        <v>207924460</v>
      </c>
      <c r="M21" s="50">
        <f t="shared" si="2"/>
        <v>203378652.72999999</v>
      </c>
      <c r="N21" s="50">
        <f t="shared" si="2"/>
        <v>214901652.72999999</v>
      </c>
      <c r="O21" s="50">
        <f t="shared" si="2"/>
        <v>205584375.75999999</v>
      </c>
    </row>
    <row r="22" spans="1:15" x14ac:dyDescent="0.25">
      <c r="A22" s="76" t="s">
        <v>121</v>
      </c>
      <c r="B22" s="76"/>
      <c r="C22" s="51">
        <f t="shared" ref="C22:O22" si="3">C6-C21</f>
        <v>-15454750</v>
      </c>
      <c r="D22" s="51">
        <f t="shared" si="3"/>
        <v>-61700163.922727317</v>
      </c>
      <c r="E22" s="51">
        <f t="shared" si="3"/>
        <v>-37551845.02272734</v>
      </c>
      <c r="F22" s="51">
        <f t="shared" si="3"/>
        <v>6690541.4672726691</v>
      </c>
      <c r="G22" s="51">
        <f t="shared" si="3"/>
        <v>62351166.317272693</v>
      </c>
      <c r="H22" s="51">
        <f t="shared" si="3"/>
        <v>108894588.11727265</v>
      </c>
      <c r="I22" s="51">
        <f t="shared" si="3"/>
        <v>128596171.63727269</v>
      </c>
      <c r="J22" s="51">
        <f t="shared" si="3"/>
        <v>178058558.12727273</v>
      </c>
      <c r="K22" s="51">
        <f t="shared" si="3"/>
        <v>180359370.00727272</v>
      </c>
      <c r="L22" s="51">
        <f t="shared" si="3"/>
        <v>204697358.38727272</v>
      </c>
      <c r="M22" s="51">
        <f t="shared" si="3"/>
        <v>216550054.5572727</v>
      </c>
      <c r="N22" s="51">
        <f t="shared" si="3"/>
        <v>241742377.15727273</v>
      </c>
      <c r="O22" s="51">
        <f t="shared" si="3"/>
        <v>246711499.98727274</v>
      </c>
    </row>
    <row r="23" spans="1:15" x14ac:dyDescent="0.25">
      <c r="A23" s="21"/>
    </row>
    <row r="24" spans="1:15" x14ac:dyDescent="0.25">
      <c r="A24" s="21"/>
    </row>
  </sheetData>
  <mergeCells count="5">
    <mergeCell ref="B1:B2"/>
    <mergeCell ref="C1:N1"/>
    <mergeCell ref="A3:A6"/>
    <mergeCell ref="A7:A2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Lương</vt:lpstr>
      <vt:lpstr>Vốn</vt:lpstr>
      <vt:lpstr>Bảng giá</vt:lpstr>
      <vt:lpstr>Marketting</vt:lpstr>
      <vt:lpstr>Lợi nhuận</vt:lpstr>
      <vt:lpstr>Lưu chuyển tiền mặt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 Lai</dc:creator>
  <cp:lastModifiedBy>Kha Lai</cp:lastModifiedBy>
  <dcterms:created xsi:type="dcterms:W3CDTF">2022-08-10T13:22:44Z</dcterms:created>
  <dcterms:modified xsi:type="dcterms:W3CDTF">2022-08-12T03:08:42Z</dcterms:modified>
</cp:coreProperties>
</file>