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Thien Tam\OneDrive\Desktop\"/>
    </mc:Choice>
  </mc:AlternateContent>
  <xr:revisionPtr revIDLastSave="0" documentId="13_ncr:1_{F3255F77-E527-4925-87F9-3AA7456912F4}" xr6:coauthVersionLast="47" xr6:coauthVersionMax="47" xr10:uidLastSave="{00000000-0000-0000-0000-000000000000}"/>
  <bookViews>
    <workbookView xWindow="-108" yWindow="-108" windowWidth="23256" windowHeight="12576" tabRatio="254" activeTab="1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'b1'!$A$3:$G$26</definedName>
    <definedName name="_xlnm._FilterDatabase" localSheetId="1" hidden="1">'b2'!$A$2:$G$20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3" i="4"/>
  <c r="H4" i="4" l="1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G21" i="3"/>
  <c r="F21" i="3"/>
  <c r="E21" i="3"/>
  <c r="G20" i="3"/>
  <c r="F20" i="3"/>
  <c r="E20" i="3"/>
  <c r="G19" i="3"/>
  <c r="F19" i="3"/>
  <c r="E19" i="3"/>
  <c r="G18" i="3"/>
  <c r="F18" i="3"/>
  <c r="E1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8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K3" i="2" l="1"/>
  <c r="N4" i="2"/>
  <c r="N5" i="2"/>
  <c r="N6" i="2"/>
  <c r="K4" i="2"/>
  <c r="K5" i="2"/>
  <c r="K6" i="2"/>
  <c r="O19" i="2" l="1"/>
  <c r="O20" i="2"/>
  <c r="O21" i="2"/>
  <c r="O22" i="2"/>
  <c r="O18" i="2"/>
  <c r="M19" i="2"/>
  <c r="M20" i="2"/>
  <c r="M21" i="2"/>
  <c r="M22" i="2"/>
  <c r="N19" i="2"/>
  <c r="N20" i="2"/>
  <c r="N21" i="2"/>
  <c r="N22" i="2"/>
  <c r="N18" i="2"/>
  <c r="M18" i="2"/>
  <c r="J19" i="2" l="1"/>
  <c r="J20" i="2"/>
  <c r="J21" i="2"/>
  <c r="J22" i="2"/>
  <c r="J18" i="2"/>
  <c r="L4" i="2" l="1"/>
  <c r="L5" i="2"/>
  <c r="L6" i="2"/>
  <c r="M6" i="2" l="1"/>
  <c r="M5" i="2"/>
  <c r="M4" i="2"/>
  <c r="L3" i="2"/>
  <c r="M3" i="2" l="1"/>
  <c r="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6" i="2"/>
  <c r="D4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C4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G3" i="2" s="1"/>
  <c r="B3" i="2"/>
  <c r="B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F4" i="1"/>
  <c r="F13" i="1"/>
  <c r="F14" i="1"/>
  <c r="F15" i="1"/>
  <c r="F16" i="1"/>
  <c r="F17" i="1"/>
  <c r="F18" i="1"/>
  <c r="F5" i="1"/>
  <c r="F6" i="1"/>
  <c r="F7" i="1"/>
  <c r="F8" i="1"/>
  <c r="F9" i="1"/>
  <c r="F10" i="1"/>
  <c r="F11" i="1"/>
  <c r="F12" i="1"/>
  <c r="C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</calcChain>
</file>

<file path=xl/sharedStrings.xml><?xml version="1.0" encoding="utf-8"?>
<sst xmlns="http://schemas.openxmlformats.org/spreadsheetml/2006/main" count="252" uniqueCount="219">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</sst>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74" formatCode="_(&quot;$&quot;* #,##0_);_(&quot;$&quot;* \(#,##0\);_(&quot;$&quot;* &quot;-&quot;??_);_(@_)"/>
    <numFmt numFmtId="177" formatCode="_(* #,##0.0_);_(* \(#,##0.0\);_(* &quot;-&quot;??_);_(@_)"/>
  </numFmts>
  <fonts count="3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  <xf numFmtId="44" fontId="37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2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174" fontId="10" fillId="0" borderId="21" xfId="2" applyNumberFormat="1" applyFont="1" applyFill="1" applyBorder="1"/>
    <xf numFmtId="174" fontId="10" fillId="0" borderId="14" xfId="1" applyNumberFormat="1" applyFont="1" applyBorder="1"/>
    <xf numFmtId="44" fontId="10" fillId="0" borderId="8" xfId="7" applyFont="1" applyBorder="1"/>
    <xf numFmtId="44" fontId="10" fillId="0" borderId="14" xfId="7" applyFont="1" applyBorder="1"/>
    <xf numFmtId="44" fontId="10" fillId="0" borderId="21" xfId="7" applyFont="1" applyFill="1" applyBorder="1"/>
    <xf numFmtId="0" fontId="20" fillId="0" borderId="16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1" fontId="21" fillId="0" borderId="14" xfId="0" applyNumberFormat="1" applyFont="1" applyBorder="1"/>
    <xf numFmtId="43" fontId="25" fillId="0" borderId="14" xfId="6" applyFont="1" applyBorder="1"/>
    <xf numFmtId="43" fontId="21" fillId="0" borderId="14" xfId="6" applyFont="1" applyBorder="1"/>
    <xf numFmtId="177" fontId="21" fillId="0" borderId="14" xfId="6" applyNumberFormat="1" applyFont="1" applyBorder="1"/>
  </cellXfs>
  <cellStyles count="8">
    <cellStyle name="Comma" xfId="6" builtinId="3"/>
    <cellStyle name="Comma 2" xfId="2" xr:uid="{B9488BC9-AE48-482E-A8C3-43A98356DC2D}"/>
    <cellStyle name="Currency" xfId="7" builtinId="4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M28"/>
  <sheetViews>
    <sheetView view="pageLayout" topLeftCell="A10" zoomScaleNormal="99" workbookViewId="0">
      <selection activeCell="C24" sqref="C24"/>
    </sheetView>
  </sheetViews>
  <sheetFormatPr defaultRowHeight="14.4" x14ac:dyDescent="0.3"/>
  <cols>
    <col min="1" max="1" width="14" customWidth="1"/>
    <col min="2" max="3" width="18.33203125" customWidth="1"/>
    <col min="4" max="4" width="24.44140625" bestFit="1" customWidth="1"/>
    <col min="5" max="5" width="14" customWidth="1"/>
    <col min="6" max="6" width="12.5546875" customWidth="1"/>
    <col min="7" max="7" width="18.88671875" customWidth="1"/>
    <col min="9" max="9" width="16.33203125" bestFit="1" customWidth="1"/>
    <col min="10" max="10" width="24.44140625" bestFit="1" customWidth="1"/>
    <col min="11" max="11" width="10.6640625" bestFit="1" customWidth="1"/>
    <col min="12" max="12" width="12.88671875" customWidth="1"/>
    <col min="13" max="13" width="15.88671875" bestFit="1" customWidth="1"/>
  </cols>
  <sheetData>
    <row r="1" spans="1:12" ht="18" x14ac:dyDescent="0.35">
      <c r="A1" s="111" t="s">
        <v>0</v>
      </c>
      <c r="B1" s="111"/>
      <c r="C1" s="111"/>
      <c r="D1" s="111"/>
      <c r="E1" s="111"/>
      <c r="F1" s="111"/>
      <c r="G1" s="111"/>
      <c r="H1" s="1"/>
      <c r="I1" s="2"/>
      <c r="J1" s="2"/>
      <c r="K1" s="1"/>
    </row>
    <row r="2" spans="1:12" ht="18.600000000000001" thickBot="1" x14ac:dyDescent="0.4">
      <c r="A2" s="2"/>
      <c r="B2" s="2"/>
      <c r="C2" s="2"/>
      <c r="D2" s="2"/>
      <c r="E2" s="2"/>
      <c r="F2" s="2"/>
      <c r="G2" s="2"/>
      <c r="H2" s="1"/>
      <c r="K2" s="2"/>
    </row>
    <row r="3" spans="1:12" ht="18.600000000000001" thickBot="1" x14ac:dyDescent="0.4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112" t="s">
        <v>7</v>
      </c>
      <c r="I3" s="113"/>
      <c r="K3" s="112" t="s">
        <v>8</v>
      </c>
      <c r="L3" s="113"/>
    </row>
    <row r="4" spans="1:12" ht="52.2" x14ac:dyDescent="0.35">
      <c r="A4" s="6" t="s">
        <v>9</v>
      </c>
      <c r="B4" s="7" t="str">
        <f>PROPER("trần vinh")</f>
        <v>Trần Vinh</v>
      </c>
      <c r="C4" s="8" t="str">
        <f>VLOOKUP(LEFT(A4,2),$H$5:$I$10,2,0)</f>
        <v>Năng Khiếu</v>
      </c>
      <c r="D4" s="8" t="str">
        <f>HLOOKUP(RIGHT(A4,2),$I$13:$K$14,2,0)</f>
        <v>Tin Học</v>
      </c>
      <c r="E4" s="7">
        <v>8.09</v>
      </c>
      <c r="F4" s="9" t="str">
        <f>IF(E4&gt;=9.5,"XUẤT SẮC",IF(AND(E4&gt;=8,E4&lt;9.5),"GIỎI",IF(AND(E4&lt;8,E4&gt;F5=6.5),"KHÁ",IF(AND(E4&lt;6.5,E4&gt;=5),"TRUNG BÌNH","YẾU"))))</f>
        <v>GIỎI</v>
      </c>
      <c r="G4" s="2"/>
      <c r="H4" s="10" t="s">
        <v>10</v>
      </c>
      <c r="I4" s="11" t="s">
        <v>11</v>
      </c>
      <c r="J4" s="12"/>
      <c r="K4" s="13" t="s">
        <v>12</v>
      </c>
      <c r="L4" s="14" t="s">
        <v>13</v>
      </c>
    </row>
    <row r="5" spans="1:12" ht="18" x14ac:dyDescent="0.35">
      <c r="A5" s="15" t="s">
        <v>14</v>
      </c>
      <c r="B5" s="16" t="str">
        <f>PROPER("lê vinh")</f>
        <v>Lê Vinh</v>
      </c>
      <c r="C5" s="8" t="str">
        <f>VLOOKUP(LEFT(A5,2),$H$5:$I$10,2,0)</f>
        <v>Năng Khiếu</v>
      </c>
      <c r="D5" s="8" t="str">
        <f>HLOOKUP(RIGHT(A5,2),$I$13:$K$14,2,0)</f>
        <v>Toán</v>
      </c>
      <c r="E5" s="16">
        <v>6.1</v>
      </c>
      <c r="F5" s="9" t="str">
        <f t="shared" ref="F5:F18" si="0">IF(E5&gt;=9.5,"XUẤT SẮC",IF(AND(E5&gt;=8,E5&lt;9.5),"GIỎI",IF(AND(E5&lt;8,E5&gt;=6.5),"KHÁ",IF(AND(E5&lt;6.5,E5&gt;=5),"TRUNG BÌNH","YẾU"))))</f>
        <v>TRUNG BÌNH</v>
      </c>
      <c r="G5" s="2"/>
      <c r="H5" s="17" t="s">
        <v>15</v>
      </c>
      <c r="I5" s="18" t="s">
        <v>16</v>
      </c>
      <c r="J5" s="2"/>
      <c r="K5" s="19">
        <v>5</v>
      </c>
      <c r="L5" s="18" t="s">
        <v>17</v>
      </c>
    </row>
    <row r="6" spans="1:12" ht="18" x14ac:dyDescent="0.35">
      <c r="A6" s="6" t="s">
        <v>18</v>
      </c>
      <c r="B6" s="7" t="str">
        <f>PROPER("phạm quân")</f>
        <v>Phạm Quân</v>
      </c>
      <c r="C6" s="8" t="str">
        <f>VLOOKUP(LEFT(A6,2),$H$5:$I$10,2,0)</f>
        <v>Sư Phạm</v>
      </c>
      <c r="D6" s="8" t="str">
        <f>HLOOKUP(RIGHT(A6,2),$I$13:$K$14,2,0)</f>
        <v>Sinh ngữ</v>
      </c>
      <c r="E6" s="7">
        <v>6.87</v>
      </c>
      <c r="F6" s="9" t="str">
        <f t="shared" si="0"/>
        <v>KHÁ</v>
      </c>
      <c r="G6" s="2"/>
      <c r="H6" s="20" t="s">
        <v>19</v>
      </c>
      <c r="I6" s="18" t="s">
        <v>20</v>
      </c>
      <c r="J6" s="2"/>
      <c r="K6" s="19">
        <v>6.5</v>
      </c>
      <c r="L6" s="18" t="s">
        <v>21</v>
      </c>
    </row>
    <row r="7" spans="1:12" ht="18" x14ac:dyDescent="0.35">
      <c r="A7" s="15" t="s">
        <v>22</v>
      </c>
      <c r="B7" s="16" t="str">
        <f>PROPER("trần quân")</f>
        <v>Trần Quân</v>
      </c>
      <c r="C7" s="8" t="str">
        <f>VLOOKUP(LEFT(A7,2),$H$5:$I$10,2,0)</f>
        <v>Trần Đại Nghĩa</v>
      </c>
      <c r="D7" s="8" t="str">
        <f>HLOOKUP(RIGHT(A7,2),$I$13:$K$14,2,0)</f>
        <v>Sinh ngữ</v>
      </c>
      <c r="E7" s="16">
        <v>7.04</v>
      </c>
      <c r="F7" s="9" t="str">
        <f t="shared" si="0"/>
        <v>KHÁ</v>
      </c>
      <c r="G7" s="2"/>
      <c r="H7" s="20" t="s">
        <v>23</v>
      </c>
      <c r="I7" s="18" t="s">
        <v>24</v>
      </c>
      <c r="J7" s="2"/>
      <c r="K7" s="19">
        <v>8</v>
      </c>
      <c r="L7" s="18" t="s">
        <v>25</v>
      </c>
    </row>
    <row r="8" spans="1:12" ht="18.600000000000001" thickBot="1" x14ac:dyDescent="0.4">
      <c r="A8" s="6" t="s">
        <v>26</v>
      </c>
      <c r="B8" s="7" t="str">
        <f>PROPER("lê hoàng")</f>
        <v>Lê Hoàng</v>
      </c>
      <c r="C8" s="8" t="str">
        <f>VLOOKUP(LEFT(A8,2),$H$5:$I$10,2,0)</f>
        <v>Gia Định</v>
      </c>
      <c r="D8" s="8" t="str">
        <f>HLOOKUP(RIGHT(A8,2),$I$13:$K$14,2,0)</f>
        <v>Tin Học</v>
      </c>
      <c r="E8" s="7">
        <v>7.52</v>
      </c>
      <c r="F8" s="9" t="str">
        <f t="shared" si="0"/>
        <v>KHÁ</v>
      </c>
      <c r="G8" s="2"/>
      <c r="H8" s="20" t="s">
        <v>28</v>
      </c>
      <c r="I8" s="18" t="s">
        <v>29</v>
      </c>
      <c r="J8" s="2"/>
      <c r="K8" s="21">
        <v>9.5</v>
      </c>
      <c r="L8" s="22" t="s">
        <v>30</v>
      </c>
    </row>
    <row r="9" spans="1:12" ht="18" x14ac:dyDescent="0.35">
      <c r="A9" s="15" t="s">
        <v>31</v>
      </c>
      <c r="B9" s="16" t="str">
        <f>PROPER("trần quân")</f>
        <v>Trần Quân</v>
      </c>
      <c r="C9" s="8" t="str">
        <f>VLOOKUP(LEFT(A9,2),$H$5:$I$10,2,0)</f>
        <v>Lê Hồng Phong</v>
      </c>
      <c r="D9" s="8" t="str">
        <f>HLOOKUP(RIGHT(A9,2),$I$13:$K$14,2,0)</f>
        <v>Sinh ngữ</v>
      </c>
      <c r="E9" s="16">
        <v>7.11</v>
      </c>
      <c r="F9" s="9" t="str">
        <f t="shared" si="0"/>
        <v>KHÁ</v>
      </c>
      <c r="G9" s="2"/>
      <c r="H9" s="20" t="s">
        <v>32</v>
      </c>
      <c r="I9" s="18" t="s">
        <v>33</v>
      </c>
      <c r="J9" s="2"/>
    </row>
    <row r="10" spans="1:12" ht="18.600000000000001" thickBot="1" x14ac:dyDescent="0.4">
      <c r="A10" s="6" t="s">
        <v>34</v>
      </c>
      <c r="B10" s="7" t="str">
        <f>PROPER("lê quân")</f>
        <v>Lê Quân</v>
      </c>
      <c r="C10" s="8" t="str">
        <f>VLOOKUP(LEFT(A10,2),$H$5:$I$10,2,0)</f>
        <v>Gia Định</v>
      </c>
      <c r="D10" s="8" t="str">
        <f>HLOOKUP(RIGHT(A10,2),$I$13:$K$14,2,0)</f>
        <v>Tin Học</v>
      </c>
      <c r="E10" s="7">
        <v>7.89</v>
      </c>
      <c r="F10" s="9" t="str">
        <f t="shared" si="0"/>
        <v>KHÁ</v>
      </c>
      <c r="G10" s="2"/>
      <c r="H10" s="23" t="s">
        <v>35</v>
      </c>
      <c r="I10" s="22" t="s">
        <v>36</v>
      </c>
      <c r="J10" s="2"/>
    </row>
    <row r="11" spans="1:12" ht="18.600000000000001" thickBot="1" x14ac:dyDescent="0.4">
      <c r="A11" s="15" t="s">
        <v>37</v>
      </c>
      <c r="B11" s="16" t="str">
        <f>PROPER("lê viên")</f>
        <v>Lê Viên</v>
      </c>
      <c r="C11" s="8" t="str">
        <f>VLOOKUP(LEFT(A11,2),$H$5:$I$10,2,0)</f>
        <v>Trần Đại Nghĩa</v>
      </c>
      <c r="D11" s="8" t="str">
        <f>HLOOKUP(RIGHT(A11,2),$I$13:$K$14,2,0)</f>
        <v>Toán</v>
      </c>
      <c r="E11" s="16">
        <v>6.1</v>
      </c>
      <c r="F11" s="9" t="str">
        <f t="shared" si="0"/>
        <v>TRUNG BÌNH</v>
      </c>
      <c r="G11" s="2"/>
      <c r="H11" s="2"/>
      <c r="I11" s="2"/>
      <c r="J11" s="2"/>
      <c r="K11" s="2"/>
      <c r="L11" s="2"/>
    </row>
    <row r="12" spans="1:12" ht="18" x14ac:dyDescent="0.35">
      <c r="A12" s="6" t="s">
        <v>38</v>
      </c>
      <c r="B12" s="7" t="str">
        <f>PROPER("lê văn")</f>
        <v>Lê Văn</v>
      </c>
      <c r="C12" s="8" t="str">
        <f>VLOOKUP(LEFT(A12,2),$H$5:$I$10,2,0)</f>
        <v>Lê Hồng Phong</v>
      </c>
      <c r="D12" s="8" t="str">
        <f>HLOOKUP(RIGHT(A12,2),$I$13:$K$14,2,0)</f>
        <v>Tin Học</v>
      </c>
      <c r="E12" s="7">
        <v>6.87</v>
      </c>
      <c r="F12" s="9" t="str">
        <f t="shared" si="0"/>
        <v>KHÁ</v>
      </c>
      <c r="G12" s="2"/>
      <c r="H12" s="114" t="s">
        <v>39</v>
      </c>
      <c r="I12" s="115"/>
      <c r="J12" s="115"/>
      <c r="K12" s="116"/>
    </row>
    <row r="13" spans="1:12" ht="18" x14ac:dyDescent="0.35">
      <c r="A13" s="15" t="s">
        <v>40</v>
      </c>
      <c r="B13" s="16" t="str">
        <f>PROPER("lê thuý")</f>
        <v>Lê Thuý</v>
      </c>
      <c r="C13" s="8" t="str">
        <f>VLOOKUP(LEFT(A13,2),$H$5:$I$10,2,0)</f>
        <v>Năng Khiếu</v>
      </c>
      <c r="D13" s="8" t="str">
        <f>HLOOKUP(RIGHT(A13,2),$I$13:$K$14,2,0)</f>
        <v>Toán</v>
      </c>
      <c r="E13" s="16">
        <v>8.1999999999999993</v>
      </c>
      <c r="F13" s="9" t="str">
        <f t="shared" si="0"/>
        <v>GIỎI</v>
      </c>
      <c r="G13" s="2"/>
      <c r="H13" s="24" t="s">
        <v>41</v>
      </c>
      <c r="I13" s="25" t="s">
        <v>42</v>
      </c>
      <c r="J13" s="25" t="s">
        <v>43</v>
      </c>
      <c r="K13" s="26" t="s">
        <v>32</v>
      </c>
    </row>
    <row r="14" spans="1:12" ht="18.600000000000001" thickBot="1" x14ac:dyDescent="0.4">
      <c r="A14" s="6" t="s">
        <v>40</v>
      </c>
      <c r="B14" s="7" t="str">
        <f>PROPER("phạm quân")</f>
        <v>Phạm Quân</v>
      </c>
      <c r="C14" s="8" t="str">
        <f>VLOOKUP(LEFT(A14,2),$H$5:$I$10,2,0)</f>
        <v>Năng Khiếu</v>
      </c>
      <c r="D14" s="8" t="str">
        <f>HLOOKUP(RIGHT(A14,2),$I$13:$K$14,2,0)</f>
        <v>Toán</v>
      </c>
      <c r="E14" s="7">
        <v>9.86</v>
      </c>
      <c r="F14" s="9" t="str">
        <f t="shared" si="0"/>
        <v>XUẤT SẮC</v>
      </c>
      <c r="G14" s="2"/>
      <c r="H14" s="27" t="s">
        <v>44</v>
      </c>
      <c r="I14" s="28" t="s">
        <v>45</v>
      </c>
      <c r="J14" s="28" t="s">
        <v>46</v>
      </c>
      <c r="K14" s="22" t="s">
        <v>47</v>
      </c>
    </row>
    <row r="15" spans="1:12" ht="18" x14ac:dyDescent="0.35">
      <c r="A15" s="15" t="s">
        <v>48</v>
      </c>
      <c r="B15" s="16" t="str">
        <f>PROPER("phạm vinh")</f>
        <v>Phạm Vinh</v>
      </c>
      <c r="C15" s="8" t="str">
        <f>VLOOKUP(LEFT(A15,2),$H$5:$I$10,2,0)</f>
        <v>Năng Khiếu</v>
      </c>
      <c r="D15" s="8" t="str">
        <f>HLOOKUP(RIGHT(A15,2),$I$13:$K$14,2,0)</f>
        <v>Sinh ngữ</v>
      </c>
      <c r="E15" s="16">
        <v>9.66</v>
      </c>
      <c r="F15" s="9" t="str">
        <f t="shared" si="0"/>
        <v>XUẤT SẮC</v>
      </c>
      <c r="G15" s="2"/>
    </row>
    <row r="16" spans="1:12" ht="18" x14ac:dyDescent="0.35">
      <c r="A16" s="6" t="s">
        <v>49</v>
      </c>
      <c r="B16" s="7" t="str">
        <f>PROPER("trần my")</f>
        <v>Trần My</v>
      </c>
      <c r="C16" s="8" t="str">
        <f>VLOOKUP(LEFT(A16,2),$H$5:$I$10,2,0)</f>
        <v>Gia Định</v>
      </c>
      <c r="D16" s="8" t="str">
        <f>HLOOKUP(RIGHT(A16,2),$I$13:$K$14,2,0)</f>
        <v>Sinh ngữ</v>
      </c>
      <c r="E16" s="7">
        <v>9.8699999999999992</v>
      </c>
      <c r="F16" s="9" t="str">
        <f t="shared" si="0"/>
        <v>XUẤT SẮC</v>
      </c>
      <c r="G16" s="2"/>
    </row>
    <row r="17" spans="1:13" ht="18" x14ac:dyDescent="0.35">
      <c r="A17" s="15" t="s">
        <v>50</v>
      </c>
      <c r="B17" s="16" t="str">
        <f>PROPER("lê hoàng")</f>
        <v>Lê Hoàng</v>
      </c>
      <c r="C17" s="8" t="str">
        <f>VLOOKUP(LEFT(A17,2),$H$5:$I$10,2,0)</f>
        <v>Trần Đại Nghĩa</v>
      </c>
      <c r="D17" s="8" t="str">
        <f>HLOOKUP(RIGHT(A17,2),$I$13:$K$14,2,0)</f>
        <v>Toán</v>
      </c>
      <c r="E17" s="16">
        <v>5.68</v>
      </c>
      <c r="F17" s="9" t="str">
        <f t="shared" si="0"/>
        <v>TRUNG BÌNH</v>
      </c>
      <c r="G17" s="2"/>
    </row>
    <row r="18" spans="1:13" ht="18" x14ac:dyDescent="0.35">
      <c r="A18" s="29" t="s">
        <v>51</v>
      </c>
      <c r="B18" s="30" t="str">
        <f>PROPER("lê nguyễn")</f>
        <v>Lê Nguyễn</v>
      </c>
      <c r="C18" s="31" t="str">
        <f>VLOOKUP(LEFT(A18,2),$H$5:$I$10,2,0)</f>
        <v>Nguyễn Thượng Hiền</v>
      </c>
      <c r="D18" s="31" t="str">
        <f>HLOOKUP(RIGHT(A18,2),$I$13:$K$14,2,0)</f>
        <v>Toán</v>
      </c>
      <c r="E18" s="30">
        <v>7.92</v>
      </c>
      <c r="F18" s="32" t="str">
        <f t="shared" si="0"/>
        <v>KHÁ</v>
      </c>
      <c r="G18" s="2"/>
    </row>
    <row r="19" spans="1:13" ht="18" x14ac:dyDescent="0.35">
      <c r="A19" s="33" t="s">
        <v>52</v>
      </c>
      <c r="B19" s="2"/>
      <c r="C19" s="7" t="str">
        <f t="shared" ref="C19" si="1">PROPER(B19)</f>
        <v/>
      </c>
      <c r="D19" s="2"/>
      <c r="E19" s="2"/>
      <c r="F19" s="2"/>
      <c r="G19" s="2"/>
      <c r="H19" s="1"/>
    </row>
    <row r="20" spans="1:13" ht="21" x14ac:dyDescent="0.4">
      <c r="A20" s="34" t="s">
        <v>53</v>
      </c>
      <c r="B20" s="34"/>
      <c r="C20" s="34"/>
      <c r="D20" s="34"/>
      <c r="E20" s="34"/>
      <c r="F20" s="34"/>
      <c r="G20" s="2"/>
      <c r="H20" s="1"/>
    </row>
    <row r="21" spans="1:13" ht="21" x14ac:dyDescent="0.4">
      <c r="A21" s="34" t="s">
        <v>54</v>
      </c>
      <c r="B21" s="34"/>
      <c r="C21" s="34"/>
      <c r="D21" s="34"/>
      <c r="E21" s="34"/>
      <c r="F21" s="34"/>
      <c r="G21" s="2"/>
      <c r="H21" s="1"/>
    </row>
    <row r="22" spans="1:13" ht="21" x14ac:dyDescent="0.4">
      <c r="A22" s="34" t="s">
        <v>55</v>
      </c>
      <c r="B22" s="34"/>
      <c r="C22" s="34"/>
      <c r="D22" s="34"/>
      <c r="E22" s="34"/>
      <c r="F22" s="34"/>
      <c r="G22" s="2"/>
      <c r="H22" s="1"/>
    </row>
    <row r="23" spans="1:13" ht="21" x14ac:dyDescent="0.4">
      <c r="A23" s="34" t="s">
        <v>56</v>
      </c>
      <c r="B23" s="34"/>
      <c r="C23" s="34"/>
      <c r="D23" s="34"/>
      <c r="E23" s="34"/>
      <c r="F23" s="34"/>
      <c r="G23" s="2"/>
      <c r="H23" s="1"/>
    </row>
    <row r="24" spans="1:13" ht="21" x14ac:dyDescent="0.4">
      <c r="A24" s="34" t="s">
        <v>57</v>
      </c>
      <c r="B24" s="34"/>
      <c r="C24" s="34"/>
      <c r="D24" s="34"/>
      <c r="E24" s="34"/>
      <c r="F24" s="34"/>
      <c r="G24" s="2"/>
      <c r="H24" s="1"/>
    </row>
    <row r="25" spans="1:13" ht="21" x14ac:dyDescent="0.4">
      <c r="A25" s="34" t="s">
        <v>58</v>
      </c>
      <c r="B25" s="34"/>
      <c r="C25" s="34"/>
      <c r="D25" s="34"/>
      <c r="E25" s="34"/>
      <c r="F25" s="34"/>
      <c r="G25" s="2"/>
      <c r="H25" s="1"/>
    </row>
    <row r="26" spans="1:13" ht="21" x14ac:dyDescent="0.4">
      <c r="A26" s="34" t="s">
        <v>59</v>
      </c>
      <c r="B26" s="34"/>
      <c r="C26" s="34"/>
      <c r="D26" s="34"/>
      <c r="E26" s="34"/>
      <c r="F26" s="34"/>
      <c r="G26" s="2"/>
      <c r="H26" s="1"/>
    </row>
    <row r="27" spans="1:13" ht="21" x14ac:dyDescent="0.4">
      <c r="A27" s="34"/>
      <c r="B27" s="34"/>
      <c r="C27" s="34"/>
      <c r="D27" s="34"/>
      <c r="E27" s="34"/>
      <c r="F27" s="34"/>
      <c r="G27" s="2"/>
      <c r="H27" s="1"/>
      <c r="M27" s="2"/>
    </row>
    <row r="28" spans="1:13" ht="21" x14ac:dyDescent="0.4">
      <c r="A28" s="34"/>
      <c r="B28" s="34"/>
      <c r="C28" s="34"/>
      <c r="D28" s="34"/>
      <c r="E28" s="34"/>
      <c r="F28" s="34"/>
      <c r="G28" s="2"/>
      <c r="H28" s="1"/>
      <c r="M28" s="2"/>
    </row>
  </sheetData>
  <autoFilter ref="A3:G26" xr:uid="{9FD40FA2-9587-422A-9675-EA9C545FADFC}"/>
  <mergeCells count="4">
    <mergeCell ref="A1:G1"/>
    <mergeCell ref="H3:I3"/>
    <mergeCell ref="K3:L3"/>
    <mergeCell ref="H12:K12"/>
  </mergeCells>
  <conditionalFormatting sqref="E4:E18">
    <cfRule type="cellIs" dxfId="1" priority="2" operator="greaterThan">
      <formula>9</formula>
    </cfRule>
  </conditionalFormatting>
  <conditionalFormatting sqref="E14">
    <cfRule type="cellIs" dxfId="0" priority="1" operator="greaterThan">
      <formula>9.86</formula>
    </cfRule>
  </conditionalFormatting>
  <pageMargins left="0.7" right="0.7" top="0.75" bottom="0.75" header="0.3" footer="0.3"/>
  <pageSetup orientation="portrait" r:id="rId1"/>
  <headerFooter>
    <oddHeader>&amp;LBÀI TẬP 1 _CHƯƠNG 5&amp;R3/11/2021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O43"/>
  <sheetViews>
    <sheetView tabSelected="1" topLeftCell="E1" workbookViewId="0">
      <selection activeCell="L13" sqref="L13"/>
    </sheetView>
  </sheetViews>
  <sheetFormatPr defaultColWidth="9.109375" defaultRowHeight="13.8" x14ac:dyDescent="0.3"/>
  <cols>
    <col min="1" max="1" width="13" style="74" customWidth="1"/>
    <col min="2" max="2" width="14.5546875" style="74" customWidth="1"/>
    <col min="3" max="3" width="15.88671875" style="74" customWidth="1"/>
    <col min="4" max="4" width="22.109375" style="74" customWidth="1"/>
    <col min="5" max="5" width="14.5546875" style="74" customWidth="1"/>
    <col min="6" max="6" width="17.88671875" style="74" customWidth="1"/>
    <col min="7" max="7" width="16.109375" style="74" customWidth="1"/>
    <col min="8" max="8" width="11" style="74" customWidth="1"/>
    <col min="9" max="9" width="20.44140625" style="74" customWidth="1"/>
    <col min="10" max="10" width="24.5546875" style="74" customWidth="1"/>
    <col min="11" max="11" width="23.77734375" style="74" customWidth="1"/>
    <col min="12" max="12" width="22.5546875" style="74" customWidth="1"/>
    <col min="13" max="13" width="25.5546875" style="74" customWidth="1"/>
    <col min="14" max="14" width="25.33203125" style="74" customWidth="1"/>
    <col min="15" max="15" width="20.5546875" style="74" customWidth="1"/>
    <col min="16" max="16" width="17.44140625" style="74" customWidth="1"/>
    <col min="17" max="17" width="4.109375" style="74" customWidth="1"/>
    <col min="18" max="18" width="20.6640625" style="74" bestFit="1" customWidth="1"/>
    <col min="19" max="19" width="15.88671875" style="74" customWidth="1"/>
    <col min="20" max="20" width="16.109375" style="74" customWidth="1"/>
    <col min="21" max="21" width="13.88671875" style="74" customWidth="1"/>
    <col min="22" max="16384" width="9.109375" style="74"/>
  </cols>
  <sheetData>
    <row r="1" spans="1:15" s="35" customFormat="1" ht="21" thickBot="1" x14ac:dyDescent="0.4">
      <c r="A1" s="117" t="s">
        <v>60</v>
      </c>
      <c r="B1" s="117"/>
      <c r="C1" s="117"/>
      <c r="D1" s="117"/>
      <c r="E1" s="117"/>
      <c r="F1" s="117"/>
      <c r="G1" s="117"/>
      <c r="I1" s="35" t="s">
        <v>61</v>
      </c>
      <c r="K1" s="36" t="s">
        <v>62</v>
      </c>
      <c r="L1" s="37">
        <v>21070</v>
      </c>
    </row>
    <row r="2" spans="1:15" s="42" customFormat="1" ht="33.6" x14ac:dyDescent="0.3">
      <c r="A2" s="38" t="s">
        <v>63</v>
      </c>
      <c r="B2" s="38" t="s">
        <v>64</v>
      </c>
      <c r="C2" s="38" t="s">
        <v>65</v>
      </c>
      <c r="D2" s="38" t="s">
        <v>66</v>
      </c>
      <c r="E2" s="38" t="s">
        <v>67</v>
      </c>
      <c r="F2" s="38" t="s">
        <v>68</v>
      </c>
      <c r="G2" s="38" t="s">
        <v>69</v>
      </c>
      <c r="H2" s="35"/>
      <c r="I2" s="38" t="s">
        <v>70</v>
      </c>
      <c r="J2" s="39" t="s">
        <v>71</v>
      </c>
      <c r="K2" s="39" t="s">
        <v>72</v>
      </c>
      <c r="L2" s="40" t="s">
        <v>73</v>
      </c>
      <c r="M2" s="39" t="s">
        <v>74</v>
      </c>
      <c r="N2" s="41" t="s">
        <v>75</v>
      </c>
    </row>
    <row r="3" spans="1:15" s="35" customFormat="1" ht="16.8" x14ac:dyDescent="0.3">
      <c r="A3" s="43" t="s">
        <v>76</v>
      </c>
      <c r="B3" s="44" t="str">
        <f>VLOOKUP(LEFT(A3,2),$I$10:$J$14,2,0)</f>
        <v>Laptop</v>
      </c>
      <c r="C3" s="44" t="str">
        <f>HLOOKUP(MID(A3,3,2),$M$9:$O$10,2,0)</f>
        <v>Sony</v>
      </c>
      <c r="D3" s="44" t="str">
        <f>VLOOKUP(VALUE(RIGHT(A3,2)),$I$3:$J$6,2,0)</f>
        <v>Thúy Hằng</v>
      </c>
      <c r="E3" s="44">
        <v>13</v>
      </c>
      <c r="F3" s="45">
        <f>VLOOKUP(LEFT(A3,2),$I$10:$K$14,3,0)*$L$1</f>
        <v>20332550</v>
      </c>
      <c r="G3" s="45">
        <f>F3*E3</f>
        <v>264323150</v>
      </c>
      <c r="I3" s="108">
        <v>11</v>
      </c>
      <c r="J3" s="110" t="s">
        <v>77</v>
      </c>
      <c r="K3" s="135">
        <f>SUMIFS($G$3:$G$20,$D$3:$D$20,J3)</f>
        <v>727231050</v>
      </c>
      <c r="L3" s="131">
        <f>INT(600000+K3*3%)</f>
        <v>22416931</v>
      </c>
      <c r="M3" s="132">
        <f>IF(L3&lt;4000000,"KHÔNG NỘP THUẾ ",L3*10%)</f>
        <v>2241693.1</v>
      </c>
      <c r="N3" s="133">
        <f>L3-M3</f>
        <v>20175237.899999999</v>
      </c>
    </row>
    <row r="4" spans="1:15" s="35" customFormat="1" ht="16.8" x14ac:dyDescent="0.3">
      <c r="A4" s="43" t="s">
        <v>78</v>
      </c>
      <c r="B4" s="44" t="str">
        <f>VLOOKUP(LEFT(A4,2),$I$10:$J$14,2,0)</f>
        <v>Laptop</v>
      </c>
      <c r="C4" s="44" t="str">
        <f>HLOOKUP(MID(A4,3,2),$M$9:$O$10,2,0)</f>
        <v>Toshiba</v>
      </c>
      <c r="D4" s="44" t="str">
        <f t="shared" ref="D4:D20" si="0">VLOOKUP(VALUE(RIGHT(A4,2)),$I$3:$J$6,2,0)</f>
        <v>Thanh Long</v>
      </c>
      <c r="E4" s="44">
        <v>25</v>
      </c>
      <c r="F4" s="45">
        <f t="shared" ref="F4:F20" si="1">VLOOKUP(LEFT(A4,2),$I$10:$K$14,3,0)*$L$1</f>
        <v>20332550</v>
      </c>
      <c r="G4" s="45">
        <f t="shared" ref="G4:G20" si="2">F4*E4</f>
        <v>508313750</v>
      </c>
      <c r="I4" s="108">
        <v>22</v>
      </c>
      <c r="J4" s="47" t="s">
        <v>79</v>
      </c>
      <c r="K4" s="135">
        <f t="shared" ref="K4:K6" si="3">SUMIFS($G$3:$G$20,$D$3:$D$20,J4)</f>
        <v>1465608130</v>
      </c>
      <c r="L4" s="131">
        <f t="shared" ref="L4:L6" si="4">INT(600000+K4*3%)</f>
        <v>44568243</v>
      </c>
      <c r="M4" s="132">
        <f t="shared" ref="M4:M6" si="5">IF(L4&lt;4000000,"KHÔNG NỘP THUẾ ",L4*10%)</f>
        <v>4456824.3</v>
      </c>
      <c r="N4" s="133">
        <f t="shared" ref="N4:N6" si="6">L4-M4</f>
        <v>40111418.700000003</v>
      </c>
    </row>
    <row r="5" spans="1:15" s="35" customFormat="1" ht="16.8" x14ac:dyDescent="0.3">
      <c r="A5" s="43" t="s">
        <v>80</v>
      </c>
      <c r="B5" s="44" t="str">
        <f t="shared" ref="B5:B20" si="7">VLOOKUP(LEFT(A5,2),$I$10:$J$14,2,0)</f>
        <v>Laptop</v>
      </c>
      <c r="C5" s="44" t="str">
        <f t="shared" ref="C5:C20" si="8">HLOOKUP(MID(A5,3,2),$M$9:$O$10,2,0)</f>
        <v>Sony</v>
      </c>
      <c r="D5" s="44" t="str">
        <f t="shared" si="0"/>
        <v>Lan Anh</v>
      </c>
      <c r="E5" s="44">
        <v>31</v>
      </c>
      <c r="F5" s="45">
        <f t="shared" si="1"/>
        <v>20332550</v>
      </c>
      <c r="G5" s="45">
        <f t="shared" si="2"/>
        <v>630309050</v>
      </c>
      <c r="I5" s="108">
        <v>33</v>
      </c>
      <c r="J5" s="47" t="s">
        <v>81</v>
      </c>
      <c r="K5" s="135">
        <f t="shared" si="3"/>
        <v>1070124230</v>
      </c>
      <c r="L5" s="131">
        <f t="shared" si="4"/>
        <v>32703726</v>
      </c>
      <c r="M5" s="132">
        <f t="shared" si="5"/>
        <v>3270372.6</v>
      </c>
      <c r="N5" s="133">
        <f t="shared" si="6"/>
        <v>29433353.399999999</v>
      </c>
    </row>
    <row r="6" spans="1:15" s="35" customFormat="1" ht="17.399999999999999" thickBot="1" x14ac:dyDescent="0.35">
      <c r="A6" s="43" t="s">
        <v>82</v>
      </c>
      <c r="B6" s="44" t="str">
        <f t="shared" si="7"/>
        <v>Laptop</v>
      </c>
      <c r="C6" s="44" t="str">
        <f t="shared" si="8"/>
        <v>Sony</v>
      </c>
      <c r="D6" s="44" t="str">
        <f t="shared" si="0"/>
        <v>Hải Quân</v>
      </c>
      <c r="E6" s="44">
        <v>33</v>
      </c>
      <c r="F6" s="45">
        <f>VLOOKUP(LEFT(A6,2),$I$10:$K$14,3,0)*$L$1</f>
        <v>20332550</v>
      </c>
      <c r="G6" s="45">
        <f t="shared" si="2"/>
        <v>670974150</v>
      </c>
      <c r="I6" s="109">
        <v>44</v>
      </c>
      <c r="J6" s="49" t="s">
        <v>83</v>
      </c>
      <c r="K6" s="135">
        <f t="shared" si="3"/>
        <v>730096570</v>
      </c>
      <c r="L6" s="131">
        <f t="shared" si="4"/>
        <v>22502897</v>
      </c>
      <c r="M6" s="132">
        <f t="shared" si="5"/>
        <v>2250289.7000000002</v>
      </c>
      <c r="N6" s="133">
        <f t="shared" si="6"/>
        <v>20252607.300000001</v>
      </c>
    </row>
    <row r="7" spans="1:15" s="35" customFormat="1" ht="17.399999999999999" thickBot="1" x14ac:dyDescent="0.35">
      <c r="A7" s="43" t="s">
        <v>80</v>
      </c>
      <c r="B7" s="44" t="str">
        <f t="shared" si="7"/>
        <v>Laptop</v>
      </c>
      <c r="C7" s="44" t="str">
        <f t="shared" si="8"/>
        <v>Sony</v>
      </c>
      <c r="D7" s="44" t="str">
        <f t="shared" si="0"/>
        <v>Lan Anh</v>
      </c>
      <c r="E7" s="44">
        <v>19</v>
      </c>
      <c r="F7" s="45">
        <f t="shared" si="1"/>
        <v>20332550</v>
      </c>
      <c r="G7" s="45">
        <f t="shared" si="2"/>
        <v>386318450</v>
      </c>
    </row>
    <row r="8" spans="1:15" s="35" customFormat="1" ht="16.8" x14ac:dyDescent="0.3">
      <c r="A8" s="43" t="s">
        <v>84</v>
      </c>
      <c r="B8" s="44" t="str">
        <f t="shared" si="7"/>
        <v>Máy ảnh</v>
      </c>
      <c r="C8" s="44" t="str">
        <f t="shared" si="8"/>
        <v>Toshiba</v>
      </c>
      <c r="D8" s="44" t="str">
        <f t="shared" si="0"/>
        <v>Lan Anh</v>
      </c>
      <c r="E8" s="44">
        <v>14</v>
      </c>
      <c r="F8" s="45">
        <f t="shared" si="1"/>
        <v>6763470</v>
      </c>
      <c r="G8" s="45">
        <f t="shared" si="2"/>
        <v>94688580</v>
      </c>
      <c r="I8" s="118" t="s">
        <v>85</v>
      </c>
      <c r="J8" s="119"/>
      <c r="K8" s="120"/>
      <c r="M8" s="121" t="s">
        <v>86</v>
      </c>
      <c r="N8" s="122"/>
      <c r="O8" s="123"/>
    </row>
    <row r="9" spans="1:15" s="35" customFormat="1" ht="16.8" x14ac:dyDescent="0.3">
      <c r="A9" s="43" t="s">
        <v>87</v>
      </c>
      <c r="B9" s="44" t="str">
        <f t="shared" si="7"/>
        <v>Máy ảnh</v>
      </c>
      <c r="C9" s="44" t="str">
        <f t="shared" si="8"/>
        <v>Panasonic</v>
      </c>
      <c r="D9" s="44" t="str">
        <f t="shared" si="0"/>
        <v>Thanh Long</v>
      </c>
      <c r="E9" s="44">
        <v>31</v>
      </c>
      <c r="F9" s="45">
        <f t="shared" si="1"/>
        <v>6763470</v>
      </c>
      <c r="G9" s="45">
        <f t="shared" si="2"/>
        <v>209667570</v>
      </c>
      <c r="I9" s="50" t="s">
        <v>88</v>
      </c>
      <c r="J9" s="51" t="s">
        <v>89</v>
      </c>
      <c r="K9" s="52" t="s">
        <v>90</v>
      </c>
      <c r="M9" s="50" t="s">
        <v>91</v>
      </c>
      <c r="N9" s="51" t="s">
        <v>92</v>
      </c>
      <c r="O9" s="52" t="s">
        <v>93</v>
      </c>
    </row>
    <row r="10" spans="1:15" s="35" customFormat="1" ht="17.399999999999999" thickBot="1" x14ac:dyDescent="0.35">
      <c r="A10" s="43" t="s">
        <v>94</v>
      </c>
      <c r="B10" s="44" t="str">
        <f t="shared" si="7"/>
        <v>Máy ảnh</v>
      </c>
      <c r="C10" s="44" t="str">
        <f t="shared" si="8"/>
        <v>Sony</v>
      </c>
      <c r="D10" s="44" t="str">
        <f t="shared" si="0"/>
        <v>Hải Quân</v>
      </c>
      <c r="E10" s="44">
        <v>24</v>
      </c>
      <c r="F10" s="45">
        <f t="shared" si="1"/>
        <v>6763470</v>
      </c>
      <c r="G10" s="45">
        <f t="shared" si="2"/>
        <v>162323280</v>
      </c>
      <c r="I10" s="46" t="s">
        <v>95</v>
      </c>
      <c r="J10" s="44" t="s">
        <v>96</v>
      </c>
      <c r="K10" s="53">
        <v>115</v>
      </c>
      <c r="M10" s="54" t="s">
        <v>97</v>
      </c>
      <c r="N10" s="55" t="s">
        <v>98</v>
      </c>
      <c r="O10" s="56" t="s">
        <v>99</v>
      </c>
    </row>
    <row r="11" spans="1:15" s="35" customFormat="1" ht="16.8" x14ac:dyDescent="0.3">
      <c r="A11" s="43" t="s">
        <v>100</v>
      </c>
      <c r="B11" s="44" t="str">
        <f t="shared" si="7"/>
        <v>Máy giặt</v>
      </c>
      <c r="C11" s="44" t="str">
        <f t="shared" si="8"/>
        <v>Toshiba</v>
      </c>
      <c r="D11" s="44" t="str">
        <f t="shared" si="0"/>
        <v>Thúy Hằng</v>
      </c>
      <c r="E11" s="44">
        <v>11</v>
      </c>
      <c r="F11" s="45">
        <f t="shared" si="1"/>
        <v>10745700</v>
      </c>
      <c r="G11" s="45">
        <f t="shared" si="2"/>
        <v>118202700</v>
      </c>
      <c r="I11" s="46" t="s">
        <v>101</v>
      </c>
      <c r="J11" s="44" t="s">
        <v>102</v>
      </c>
      <c r="K11" s="53">
        <v>321</v>
      </c>
      <c r="M11" s="57"/>
    </row>
    <row r="12" spans="1:15" s="35" customFormat="1" ht="16.8" x14ac:dyDescent="0.3">
      <c r="A12" s="43" t="s">
        <v>103</v>
      </c>
      <c r="B12" s="44" t="str">
        <f t="shared" si="7"/>
        <v>Máy giặt</v>
      </c>
      <c r="C12" s="44" t="str">
        <f t="shared" si="8"/>
        <v>Panasonic</v>
      </c>
      <c r="D12" s="44" t="str">
        <f t="shared" si="0"/>
        <v>Lan Anh</v>
      </c>
      <c r="E12" s="44">
        <v>21</v>
      </c>
      <c r="F12" s="45">
        <f t="shared" si="1"/>
        <v>10745700</v>
      </c>
      <c r="G12" s="45">
        <f t="shared" si="2"/>
        <v>225659700</v>
      </c>
      <c r="I12" s="46" t="s">
        <v>104</v>
      </c>
      <c r="J12" s="44" t="s">
        <v>105</v>
      </c>
      <c r="K12" s="53">
        <v>185</v>
      </c>
      <c r="M12" s="57"/>
    </row>
    <row r="13" spans="1:15" s="35" customFormat="1" ht="16.8" x14ac:dyDescent="0.3">
      <c r="A13" s="43" t="s">
        <v>100</v>
      </c>
      <c r="B13" s="44" t="str">
        <f t="shared" si="7"/>
        <v>Máy giặt</v>
      </c>
      <c r="C13" s="44" t="str">
        <f t="shared" si="8"/>
        <v>Toshiba</v>
      </c>
      <c r="D13" s="44" t="str">
        <f t="shared" si="0"/>
        <v>Thúy Hằng</v>
      </c>
      <c r="E13" s="44">
        <v>19</v>
      </c>
      <c r="F13" s="45">
        <f t="shared" si="1"/>
        <v>10745700</v>
      </c>
      <c r="G13" s="45">
        <f t="shared" si="2"/>
        <v>204168300</v>
      </c>
      <c r="I13" s="46" t="s">
        <v>106</v>
      </c>
      <c r="J13" s="44" t="s">
        <v>107</v>
      </c>
      <c r="K13" s="53">
        <v>965</v>
      </c>
    </row>
    <row r="14" spans="1:15" s="35" customFormat="1" ht="17.399999999999999" thickBot="1" x14ac:dyDescent="0.35">
      <c r="A14" s="43" t="s">
        <v>108</v>
      </c>
      <c r="B14" s="44" t="str">
        <f t="shared" si="7"/>
        <v>Máy lạnh</v>
      </c>
      <c r="C14" s="44" t="str">
        <f t="shared" si="8"/>
        <v>Toshiba</v>
      </c>
      <c r="D14" s="44" t="str">
        <f t="shared" si="0"/>
        <v>Hải Quân</v>
      </c>
      <c r="E14" s="44">
        <v>39</v>
      </c>
      <c r="F14" s="45">
        <f t="shared" si="1"/>
        <v>3897950</v>
      </c>
      <c r="G14" s="45">
        <f t="shared" si="2"/>
        <v>152020050</v>
      </c>
      <c r="I14" s="48" t="s">
        <v>109</v>
      </c>
      <c r="J14" s="58" t="s">
        <v>110</v>
      </c>
      <c r="K14" s="59">
        <v>510</v>
      </c>
    </row>
    <row r="15" spans="1:15" s="35" customFormat="1" ht="17.399999999999999" thickBot="1" x14ac:dyDescent="0.35">
      <c r="A15" s="43" t="s">
        <v>111</v>
      </c>
      <c r="B15" s="44" t="str">
        <f t="shared" si="7"/>
        <v>Máy lạnh</v>
      </c>
      <c r="C15" s="44" t="str">
        <f t="shared" si="8"/>
        <v>Panasonic</v>
      </c>
      <c r="D15" s="44" t="str">
        <f t="shared" si="0"/>
        <v>Lan Anh</v>
      </c>
      <c r="E15" s="44">
        <v>33</v>
      </c>
      <c r="F15" s="45">
        <f t="shared" si="1"/>
        <v>3897950</v>
      </c>
      <c r="G15" s="45">
        <f t="shared" si="2"/>
        <v>128632350</v>
      </c>
    </row>
    <row r="16" spans="1:15" s="35" customFormat="1" ht="17.399999999999999" thickBot="1" x14ac:dyDescent="0.35">
      <c r="A16" s="43" t="s">
        <v>112</v>
      </c>
      <c r="B16" s="44" t="str">
        <f t="shared" si="7"/>
        <v>Tivi</v>
      </c>
      <c r="C16" s="44" t="str">
        <f t="shared" si="8"/>
        <v>Sony</v>
      </c>
      <c r="D16" s="44" t="str">
        <f t="shared" si="0"/>
        <v>Thúy Hằng</v>
      </c>
      <c r="E16" s="44">
        <v>37</v>
      </c>
      <c r="F16" s="45">
        <f t="shared" si="1"/>
        <v>2423050</v>
      </c>
      <c r="G16" s="45">
        <f t="shared" si="2"/>
        <v>89652850</v>
      </c>
      <c r="I16" s="60" t="s">
        <v>113</v>
      </c>
      <c r="J16" s="61" t="s">
        <v>114</v>
      </c>
      <c r="L16" s="60" t="s">
        <v>115</v>
      </c>
      <c r="M16" s="62"/>
      <c r="N16" s="63" t="s">
        <v>116</v>
      </c>
      <c r="O16" s="64"/>
    </row>
    <row r="17" spans="1:15" s="35" customFormat="1" ht="16.8" x14ac:dyDescent="0.3">
      <c r="A17" s="43" t="s">
        <v>112</v>
      </c>
      <c r="B17" s="44" t="str">
        <f t="shared" si="7"/>
        <v>Tivi</v>
      </c>
      <c r="C17" s="44" t="str">
        <f t="shared" si="8"/>
        <v>Sony</v>
      </c>
      <c r="D17" s="44" t="str">
        <f t="shared" si="0"/>
        <v>Thúy Hằng</v>
      </c>
      <c r="E17" s="44">
        <v>21</v>
      </c>
      <c r="F17" s="45">
        <f t="shared" si="1"/>
        <v>2423050</v>
      </c>
      <c r="G17" s="45">
        <f t="shared" si="2"/>
        <v>50884050</v>
      </c>
      <c r="I17" s="50" t="s">
        <v>89</v>
      </c>
      <c r="J17" s="52" t="s">
        <v>117</v>
      </c>
      <c r="L17" s="65"/>
      <c r="M17" s="66" t="s">
        <v>97</v>
      </c>
      <c r="N17" s="66" t="s">
        <v>98</v>
      </c>
      <c r="O17" s="67" t="s">
        <v>99</v>
      </c>
    </row>
    <row r="18" spans="1:15" s="35" customFormat="1" ht="16.8" x14ac:dyDescent="0.3">
      <c r="A18" s="43" t="s">
        <v>118</v>
      </c>
      <c r="B18" s="44" t="str">
        <f t="shared" si="7"/>
        <v>Tivi</v>
      </c>
      <c r="C18" s="44" t="str">
        <f t="shared" si="8"/>
        <v>Panasonic</v>
      </c>
      <c r="D18" s="44" t="str">
        <f t="shared" si="0"/>
        <v>Thanh Long</v>
      </c>
      <c r="E18" s="44">
        <v>5</v>
      </c>
      <c r="F18" s="45">
        <f t="shared" si="1"/>
        <v>2423050</v>
      </c>
      <c r="G18" s="45">
        <f t="shared" si="2"/>
        <v>12115250</v>
      </c>
      <c r="I18" s="46" t="s">
        <v>96</v>
      </c>
      <c r="J18" s="133">
        <f ca="1">SUMIF($B$3:$G$20,I18,$G$3:$G$20)</f>
        <v>237458900</v>
      </c>
      <c r="L18" s="68" t="s">
        <v>96</v>
      </c>
      <c r="M18" s="134">
        <f>SUMIFS($G$3:$G$20,$B$3:$B$20,L18,$C$3:$C$20,$M$17)</f>
        <v>191420950</v>
      </c>
      <c r="N18" s="134">
        <f>SUMIFS($G$3:$G$20,$B$3:$B$20,L18,$C$3:$C$20,$N$17)</f>
        <v>33922700</v>
      </c>
      <c r="O18" s="134">
        <f>SUMIFS($G$3:$G$20,$B$3:$B$20,L18,$C$3:$C$20,$O$17)</f>
        <v>12115250</v>
      </c>
    </row>
    <row r="19" spans="1:15" s="35" customFormat="1" ht="16.8" x14ac:dyDescent="0.3">
      <c r="A19" s="43" t="s">
        <v>119</v>
      </c>
      <c r="B19" s="44" t="str">
        <f t="shared" si="7"/>
        <v>Tivi</v>
      </c>
      <c r="C19" s="44" t="str">
        <f t="shared" si="8"/>
        <v>Toshiba</v>
      </c>
      <c r="D19" s="44" t="str">
        <f t="shared" si="0"/>
        <v>Hải Quân</v>
      </c>
      <c r="E19" s="44">
        <v>14</v>
      </c>
      <c r="F19" s="45">
        <f t="shared" si="1"/>
        <v>2423050</v>
      </c>
      <c r="G19" s="45">
        <f t="shared" si="2"/>
        <v>33922700</v>
      </c>
      <c r="I19" s="46" t="s">
        <v>102</v>
      </c>
      <c r="J19" s="133">
        <f t="shared" ref="J19:J22" ca="1" si="9">SUMIF($B$3:$G$20,I19,$G$3:$G$20)</f>
        <v>466679430</v>
      </c>
      <c r="L19" s="68" t="s">
        <v>102</v>
      </c>
      <c r="M19" s="134">
        <f t="shared" ref="M19:M22" si="10">SUMIFS($G$3:$G$20,$B$3:$B$20,L19,$C$3:$C$20,$M$17)</f>
        <v>162323280</v>
      </c>
      <c r="N19" s="134">
        <f t="shared" ref="N19:N22" si="11">SUMIFS($G$3:$G$20,$B$3:$B$20,L19,$C$3:$C$20,$N$17)</f>
        <v>94688580</v>
      </c>
      <c r="O19" s="134">
        <f t="shared" ref="O19:O22" si="12">SUMIFS($G$3:$G$20,$B$3:$B$20,L19,$C$3:$C$20,$O$17)</f>
        <v>209667570</v>
      </c>
    </row>
    <row r="20" spans="1:15" s="35" customFormat="1" ht="16.8" x14ac:dyDescent="0.3">
      <c r="A20" s="43" t="s">
        <v>120</v>
      </c>
      <c r="B20" s="44" t="str">
        <f t="shared" si="7"/>
        <v>Tivi</v>
      </c>
      <c r="C20" s="44" t="str">
        <f t="shared" si="8"/>
        <v>Sony</v>
      </c>
      <c r="D20" s="44" t="str">
        <f t="shared" si="0"/>
        <v>Hải Quân</v>
      </c>
      <c r="E20" s="44">
        <v>21</v>
      </c>
      <c r="F20" s="45">
        <f t="shared" si="1"/>
        <v>2423050</v>
      </c>
      <c r="G20" s="45">
        <f t="shared" si="2"/>
        <v>50884050</v>
      </c>
      <c r="I20" s="46" t="s">
        <v>105</v>
      </c>
      <c r="J20" s="133">
        <f t="shared" ca="1" si="9"/>
        <v>280652400</v>
      </c>
      <c r="L20" s="68" t="s">
        <v>105</v>
      </c>
      <c r="M20" s="134">
        <f t="shared" si="10"/>
        <v>0</v>
      </c>
      <c r="N20" s="134">
        <f t="shared" si="11"/>
        <v>152020050</v>
      </c>
      <c r="O20" s="134">
        <f t="shared" si="12"/>
        <v>128632350</v>
      </c>
    </row>
    <row r="21" spans="1:15" s="35" customFormat="1" ht="16.8" x14ac:dyDescent="0.3">
      <c r="I21" s="46" t="s">
        <v>107</v>
      </c>
      <c r="J21" s="133">
        <f t="shared" ca="1" si="9"/>
        <v>2460238550</v>
      </c>
      <c r="L21" s="68" t="s">
        <v>107</v>
      </c>
      <c r="M21" s="134">
        <f t="shared" si="10"/>
        <v>1951924800</v>
      </c>
      <c r="N21" s="134">
        <f t="shared" si="11"/>
        <v>508313750</v>
      </c>
      <c r="O21" s="134">
        <f t="shared" si="12"/>
        <v>0</v>
      </c>
    </row>
    <row r="22" spans="1:15" s="35" customFormat="1" ht="17.399999999999999" thickBot="1" x14ac:dyDescent="0.35">
      <c r="A22" s="69" t="s">
        <v>121</v>
      </c>
      <c r="I22" s="48" t="s">
        <v>110</v>
      </c>
      <c r="J22" s="133">
        <f t="shared" ca="1" si="9"/>
        <v>548030700</v>
      </c>
      <c r="L22" s="70" t="s">
        <v>110</v>
      </c>
      <c r="M22" s="134">
        <f t="shared" si="10"/>
        <v>0</v>
      </c>
      <c r="N22" s="134">
        <f t="shared" si="11"/>
        <v>322371000</v>
      </c>
      <c r="O22" s="134">
        <f t="shared" si="12"/>
        <v>225659700</v>
      </c>
    </row>
    <row r="23" spans="1:15" s="71" customFormat="1" ht="18" x14ac:dyDescent="0.35">
      <c r="A23" s="71" t="s">
        <v>122</v>
      </c>
    </row>
    <row r="24" spans="1:15" s="71" customFormat="1" ht="18" x14ac:dyDescent="0.35">
      <c r="A24" s="71" t="s">
        <v>123</v>
      </c>
    </row>
    <row r="25" spans="1:15" s="71" customFormat="1" ht="18" x14ac:dyDescent="0.35">
      <c r="A25" s="71" t="s">
        <v>124</v>
      </c>
    </row>
    <row r="26" spans="1:15" s="71" customFormat="1" ht="18" x14ac:dyDescent="0.35">
      <c r="A26" s="71" t="s">
        <v>125</v>
      </c>
      <c r="K26" s="35"/>
    </row>
    <row r="27" spans="1:15" s="71" customFormat="1" ht="18" x14ac:dyDescent="0.35">
      <c r="A27" s="71" t="s">
        <v>126</v>
      </c>
      <c r="J27" s="72"/>
      <c r="K27" s="35"/>
    </row>
    <row r="28" spans="1:15" s="71" customFormat="1" ht="18" x14ac:dyDescent="0.35">
      <c r="A28" s="71" t="s">
        <v>127</v>
      </c>
      <c r="F28" s="73"/>
      <c r="I28" s="74"/>
      <c r="J28" s="74"/>
      <c r="K28" s="35"/>
    </row>
    <row r="29" spans="1:15" s="71" customFormat="1" ht="18" x14ac:dyDescent="0.35">
      <c r="A29" s="71" t="s">
        <v>128</v>
      </c>
      <c r="I29" s="74"/>
      <c r="J29" s="74"/>
      <c r="K29" s="35"/>
    </row>
    <row r="30" spans="1:15" s="71" customFormat="1" ht="18" x14ac:dyDescent="0.35">
      <c r="A30" s="71" t="s">
        <v>129</v>
      </c>
      <c r="I30" s="74"/>
      <c r="J30" s="74"/>
      <c r="K30" s="35"/>
    </row>
    <row r="31" spans="1:15" s="71" customFormat="1" ht="18" x14ac:dyDescent="0.35">
      <c r="A31" s="71" t="s">
        <v>130</v>
      </c>
      <c r="I31" s="74"/>
      <c r="J31" s="74"/>
    </row>
    <row r="32" spans="1:15" s="71" customFormat="1" ht="18" x14ac:dyDescent="0.35">
      <c r="A32" s="71" t="s">
        <v>131</v>
      </c>
      <c r="I32" s="74"/>
      <c r="J32" s="74"/>
    </row>
    <row r="33" spans="1:10" s="71" customFormat="1" ht="18" x14ac:dyDescent="0.35">
      <c r="A33" s="71" t="s">
        <v>132</v>
      </c>
      <c r="I33" s="74"/>
      <c r="J33" s="74"/>
    </row>
    <row r="40" spans="1:10" x14ac:dyDescent="0.3">
      <c r="D40" s="75"/>
    </row>
    <row r="41" spans="1:10" x14ac:dyDescent="0.3">
      <c r="D41" s="75"/>
    </row>
    <row r="42" spans="1:10" x14ac:dyDescent="0.3">
      <c r="D42" s="75"/>
    </row>
    <row r="43" spans="1:10" x14ac:dyDescent="0.3">
      <c r="D43" s="75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J32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2" max="2" width="30.44140625" customWidth="1"/>
    <col min="3" max="3" width="18.44140625" customWidth="1"/>
    <col min="4" max="4" width="17.109375" customWidth="1"/>
    <col min="5" max="5" width="14" customWidth="1"/>
    <col min="6" max="6" width="11.109375" customWidth="1"/>
    <col min="7" max="7" width="17" customWidth="1"/>
    <col min="8" max="8" width="11.6640625" customWidth="1"/>
    <col min="9" max="9" width="12.109375" customWidth="1"/>
    <col min="10" max="10" width="12.88671875" customWidth="1"/>
  </cols>
  <sheetData>
    <row r="1" spans="1:10" ht="24.6" x14ac:dyDescent="0.4">
      <c r="A1" s="124" t="s">
        <v>133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ht="37.200000000000003" x14ac:dyDescent="0.3">
      <c r="A2" s="76" t="s">
        <v>134</v>
      </c>
      <c r="B2" s="76"/>
      <c r="C2" s="76" t="s">
        <v>135</v>
      </c>
      <c r="D2" s="76" t="s">
        <v>136</v>
      </c>
      <c r="E2" s="76" t="s">
        <v>137</v>
      </c>
      <c r="F2" s="76" t="s">
        <v>138</v>
      </c>
      <c r="G2" s="76" t="s">
        <v>139</v>
      </c>
      <c r="H2" s="76" t="s">
        <v>140</v>
      </c>
      <c r="I2" s="76" t="s">
        <v>17</v>
      </c>
      <c r="J2" s="76" t="s">
        <v>141</v>
      </c>
    </row>
    <row r="3" spans="1:10" ht="19.2" x14ac:dyDescent="0.35">
      <c r="A3" s="77">
        <v>1</v>
      </c>
      <c r="B3" s="77" t="str">
        <f>PROPER("nguyễn văn tâm")</f>
        <v>Nguyễn Văn Tâm</v>
      </c>
      <c r="C3" s="78">
        <v>32781</v>
      </c>
      <c r="D3" s="138">
        <f ca="1">YEAR(NOW())-YEAR(C3)</f>
        <v>32</v>
      </c>
      <c r="E3" s="77">
        <v>4</v>
      </c>
      <c r="F3" s="77">
        <v>5</v>
      </c>
      <c r="G3" s="77">
        <v>3</v>
      </c>
      <c r="H3" s="77">
        <f>SUM(E3:G3)</f>
        <v>12</v>
      </c>
      <c r="I3" s="77">
        <f>((E3*2)+(F3*2)+G3)/5</f>
        <v>4.2</v>
      </c>
      <c r="J3" s="77" t="str">
        <f>IF(I3&gt;5,"ĐẬU","RỚT")</f>
        <v>RỚT</v>
      </c>
    </row>
    <row r="4" spans="1:10" ht="19.2" x14ac:dyDescent="0.35">
      <c r="A4" s="77">
        <v>2</v>
      </c>
      <c r="B4" s="77" t="str">
        <f>PROPER("nguyễn thị hằng")</f>
        <v>Nguyễn Thị Hằng</v>
      </c>
      <c r="C4" s="78">
        <v>32803</v>
      </c>
      <c r="D4" s="138">
        <f t="shared" ref="D4:D17" ca="1" si="0">YEAR(NOW())-YEAR(C4)</f>
        <v>32</v>
      </c>
      <c r="E4" s="77">
        <v>5</v>
      </c>
      <c r="F4" s="77">
        <v>2</v>
      </c>
      <c r="G4" s="77">
        <v>8</v>
      </c>
      <c r="H4" s="77">
        <f t="shared" ref="H4:H17" si="1">SUM(E4:G4)</f>
        <v>15</v>
      </c>
      <c r="I4" s="77">
        <f t="shared" ref="I4:I17" si="2">((E4*2)+(F4*2)+G4)/5</f>
        <v>4.4000000000000004</v>
      </c>
      <c r="J4" s="77" t="str">
        <f t="shared" ref="J4:J17" si="3">IF(I4&gt;5,"ĐẬU","RỚT")</f>
        <v>RỚT</v>
      </c>
    </row>
    <row r="5" spans="1:10" ht="19.2" x14ac:dyDescent="0.35">
      <c r="A5" s="77">
        <v>3</v>
      </c>
      <c r="B5" s="77" t="str">
        <f>PROPER("ngô thị nga")</f>
        <v>Ngô Thị Nga</v>
      </c>
      <c r="C5" s="78">
        <v>33856</v>
      </c>
      <c r="D5" s="138">
        <f t="shared" ca="1" si="0"/>
        <v>29</v>
      </c>
      <c r="E5" s="77">
        <v>6</v>
      </c>
      <c r="F5" s="77">
        <v>6</v>
      </c>
      <c r="G5" s="77">
        <v>6</v>
      </c>
      <c r="H5" s="77">
        <f t="shared" si="1"/>
        <v>18</v>
      </c>
      <c r="I5" s="77">
        <f t="shared" si="2"/>
        <v>6</v>
      </c>
      <c r="J5" s="77" t="str">
        <f t="shared" si="3"/>
        <v>ĐẬU</v>
      </c>
    </row>
    <row r="6" spans="1:10" ht="19.2" x14ac:dyDescent="0.35">
      <c r="A6" s="77">
        <v>4</v>
      </c>
      <c r="B6" s="77" t="str">
        <f>PROPER("trần thiên thu")</f>
        <v>Trần Thiên Thu</v>
      </c>
      <c r="C6" s="78">
        <v>35061</v>
      </c>
      <c r="D6" s="138">
        <f t="shared" ca="1" si="0"/>
        <v>26</v>
      </c>
      <c r="E6" s="77">
        <v>2</v>
      </c>
      <c r="F6" s="77">
        <v>5</v>
      </c>
      <c r="G6" s="77">
        <v>5</v>
      </c>
      <c r="H6" s="77">
        <f t="shared" si="1"/>
        <v>12</v>
      </c>
      <c r="I6" s="77">
        <f t="shared" si="2"/>
        <v>3.8</v>
      </c>
      <c r="J6" s="77" t="str">
        <f t="shared" si="3"/>
        <v>RỚT</v>
      </c>
    </row>
    <row r="7" spans="1:10" ht="19.2" x14ac:dyDescent="0.35">
      <c r="A7" s="77">
        <v>5</v>
      </c>
      <c r="B7" s="77" t="str">
        <f>PROPER("lâm hoàng cát")</f>
        <v>Lâm Hoàng Cát</v>
      </c>
      <c r="C7" s="78">
        <v>32383</v>
      </c>
      <c r="D7" s="138">
        <f t="shared" ca="1" si="0"/>
        <v>33</v>
      </c>
      <c r="E7" s="77">
        <v>7</v>
      </c>
      <c r="F7" s="77">
        <v>5</v>
      </c>
      <c r="G7" s="77">
        <v>7</v>
      </c>
      <c r="H7" s="77">
        <f t="shared" si="1"/>
        <v>19</v>
      </c>
      <c r="I7" s="77">
        <f t="shared" si="2"/>
        <v>6.2</v>
      </c>
      <c r="J7" s="77" t="str">
        <f t="shared" si="3"/>
        <v>ĐẬU</v>
      </c>
    </row>
    <row r="8" spans="1:10" ht="19.2" x14ac:dyDescent="0.35">
      <c r="A8" s="77">
        <v>6</v>
      </c>
      <c r="B8" s="77" t="str">
        <f>PROPER("lê hoài sơn")</f>
        <v>Lê Hoài Sơn</v>
      </c>
      <c r="C8" s="78">
        <v>33176</v>
      </c>
      <c r="D8" s="138">
        <f t="shared" ca="1" si="0"/>
        <v>31</v>
      </c>
      <c r="E8" s="77">
        <v>8</v>
      </c>
      <c r="F8" s="77">
        <v>5</v>
      </c>
      <c r="G8" s="77">
        <v>7</v>
      </c>
      <c r="H8" s="77">
        <f t="shared" si="1"/>
        <v>20</v>
      </c>
      <c r="I8" s="77">
        <f t="shared" si="2"/>
        <v>6.6</v>
      </c>
      <c r="J8" s="77" t="str">
        <f t="shared" si="3"/>
        <v>ĐẬU</v>
      </c>
    </row>
    <row r="9" spans="1:10" ht="19.2" x14ac:dyDescent="0.35">
      <c r="A9" s="77">
        <v>7</v>
      </c>
      <c r="B9" s="77" t="str">
        <f>PROPER("lý lâm")</f>
        <v>Lý Lâm</v>
      </c>
      <c r="C9" s="78">
        <v>36102</v>
      </c>
      <c r="D9" s="138">
        <f t="shared" ca="1" si="0"/>
        <v>23</v>
      </c>
      <c r="E9" s="77">
        <v>9</v>
      </c>
      <c r="F9" s="77">
        <v>5</v>
      </c>
      <c r="G9" s="77">
        <v>8</v>
      </c>
      <c r="H9" s="77">
        <f t="shared" si="1"/>
        <v>22</v>
      </c>
      <c r="I9" s="77">
        <f t="shared" si="2"/>
        <v>7.2</v>
      </c>
      <c r="J9" s="77" t="str">
        <f t="shared" si="3"/>
        <v>ĐẬU</v>
      </c>
    </row>
    <row r="10" spans="1:10" ht="19.2" x14ac:dyDescent="0.35">
      <c r="A10" s="77">
        <v>8</v>
      </c>
      <c r="B10" s="77" t="str">
        <f>PROPER("trần văn trung")</f>
        <v>Trần Văn Trung</v>
      </c>
      <c r="C10" s="78">
        <v>33140</v>
      </c>
      <c r="D10" s="138">
        <f t="shared" ca="1" si="0"/>
        <v>31</v>
      </c>
      <c r="E10" s="77">
        <v>4</v>
      </c>
      <c r="F10" s="77">
        <v>5</v>
      </c>
      <c r="G10" s="77">
        <v>6</v>
      </c>
      <c r="H10" s="77">
        <f t="shared" si="1"/>
        <v>15</v>
      </c>
      <c r="I10" s="77">
        <f t="shared" si="2"/>
        <v>4.8</v>
      </c>
      <c r="J10" s="77" t="str">
        <f t="shared" si="3"/>
        <v>RỚT</v>
      </c>
    </row>
    <row r="11" spans="1:10" ht="19.2" x14ac:dyDescent="0.35">
      <c r="A11" s="77">
        <v>9</v>
      </c>
      <c r="B11" s="77" t="str">
        <f>PROPER("nguyễn văn tráng")</f>
        <v>Nguyễn Văn Tráng</v>
      </c>
      <c r="C11" s="78">
        <v>35045</v>
      </c>
      <c r="D11" s="138">
        <f t="shared" ca="1" si="0"/>
        <v>26</v>
      </c>
      <c r="E11" s="77">
        <v>6</v>
      </c>
      <c r="F11" s="77">
        <v>5</v>
      </c>
      <c r="G11" s="77">
        <v>5</v>
      </c>
      <c r="H11" s="77">
        <f t="shared" si="1"/>
        <v>16</v>
      </c>
      <c r="I11" s="77">
        <f t="shared" si="2"/>
        <v>5.4</v>
      </c>
      <c r="J11" s="77" t="str">
        <f t="shared" si="3"/>
        <v>ĐẬU</v>
      </c>
    </row>
    <row r="12" spans="1:10" ht="19.2" x14ac:dyDescent="0.35">
      <c r="A12" s="77">
        <v>10</v>
      </c>
      <c r="B12" s="77" t="str">
        <f>PROPER("lý thu nga")</f>
        <v>Lý Thu Nga</v>
      </c>
      <c r="C12" s="78">
        <v>32446</v>
      </c>
      <c r="D12" s="138">
        <f t="shared" ca="1" si="0"/>
        <v>33</v>
      </c>
      <c r="E12" s="77">
        <v>8</v>
      </c>
      <c r="F12" s="77">
        <v>4</v>
      </c>
      <c r="G12" s="77">
        <v>6</v>
      </c>
      <c r="H12" s="77">
        <f t="shared" si="1"/>
        <v>18</v>
      </c>
      <c r="I12" s="77">
        <f t="shared" si="2"/>
        <v>6</v>
      </c>
      <c r="J12" s="77" t="str">
        <f t="shared" si="3"/>
        <v>ĐẬU</v>
      </c>
    </row>
    <row r="13" spans="1:10" ht="19.2" x14ac:dyDescent="0.35">
      <c r="A13" s="77">
        <v>11</v>
      </c>
      <c r="B13" s="77" t="str">
        <f>PROPER("nguyễn văn hùng")</f>
        <v>Nguyễn Văn Hùng</v>
      </c>
      <c r="C13" s="78">
        <v>33137</v>
      </c>
      <c r="D13" s="138">
        <f t="shared" ca="1" si="0"/>
        <v>31</v>
      </c>
      <c r="E13" s="77">
        <v>4</v>
      </c>
      <c r="F13" s="77">
        <v>4</v>
      </c>
      <c r="G13" s="77">
        <v>6</v>
      </c>
      <c r="H13" s="77">
        <f t="shared" si="1"/>
        <v>14</v>
      </c>
      <c r="I13" s="77">
        <f t="shared" si="2"/>
        <v>4.4000000000000004</v>
      </c>
      <c r="J13" s="77" t="str">
        <f t="shared" si="3"/>
        <v>RỚT</v>
      </c>
    </row>
    <row r="14" spans="1:10" ht="19.2" x14ac:dyDescent="0.35">
      <c r="A14" s="77">
        <v>12</v>
      </c>
      <c r="B14" s="77" t="str">
        <f>PROPER("Trần thi phượng")</f>
        <v>Trần Thi Phượng</v>
      </c>
      <c r="C14" s="78">
        <v>33480</v>
      </c>
      <c r="D14" s="138">
        <f t="shared" ca="1" si="0"/>
        <v>30</v>
      </c>
      <c r="E14" s="77">
        <v>7</v>
      </c>
      <c r="F14" s="77">
        <v>7</v>
      </c>
      <c r="G14" s="77">
        <v>6</v>
      </c>
      <c r="H14" s="77">
        <f t="shared" si="1"/>
        <v>20</v>
      </c>
      <c r="I14" s="77">
        <f t="shared" si="2"/>
        <v>6.8</v>
      </c>
      <c r="J14" s="77" t="str">
        <f t="shared" si="3"/>
        <v>ĐẬU</v>
      </c>
    </row>
    <row r="15" spans="1:10" ht="19.2" x14ac:dyDescent="0.35">
      <c r="A15" s="77">
        <v>13</v>
      </c>
      <c r="B15" s="77" t="str">
        <f>PROPER("võ công thành")</f>
        <v>Võ Công Thành</v>
      </c>
      <c r="C15" s="78">
        <v>34974</v>
      </c>
      <c r="D15" s="138">
        <f t="shared" ca="1" si="0"/>
        <v>26</v>
      </c>
      <c r="E15" s="77">
        <v>8</v>
      </c>
      <c r="F15" s="77">
        <v>8</v>
      </c>
      <c r="G15" s="77">
        <v>5</v>
      </c>
      <c r="H15" s="77">
        <f t="shared" si="1"/>
        <v>21</v>
      </c>
      <c r="I15" s="77">
        <f t="shared" si="2"/>
        <v>7.4</v>
      </c>
      <c r="J15" s="77" t="str">
        <f t="shared" si="3"/>
        <v>ĐẬU</v>
      </c>
    </row>
    <row r="16" spans="1:10" ht="19.2" x14ac:dyDescent="0.35">
      <c r="A16" s="77">
        <v>14</v>
      </c>
      <c r="B16" s="77" t="str">
        <f>PROPER("lê văn minh")</f>
        <v>Lê Văn Minh</v>
      </c>
      <c r="C16" s="78">
        <v>33126</v>
      </c>
      <c r="D16" s="138">
        <f t="shared" ca="1" si="0"/>
        <v>31</v>
      </c>
      <c r="E16" s="77">
        <v>3</v>
      </c>
      <c r="F16" s="77">
        <v>9</v>
      </c>
      <c r="G16" s="77">
        <v>8</v>
      </c>
      <c r="H16" s="77">
        <f t="shared" si="1"/>
        <v>20</v>
      </c>
      <c r="I16" s="77">
        <f t="shared" si="2"/>
        <v>6.4</v>
      </c>
      <c r="J16" s="77" t="str">
        <f t="shared" si="3"/>
        <v>ĐẬU</v>
      </c>
    </row>
    <row r="17" spans="1:10" ht="19.2" x14ac:dyDescent="0.35">
      <c r="A17" s="77">
        <v>15</v>
      </c>
      <c r="B17" s="77" t="str">
        <f>PROPER("doãn hòa")</f>
        <v>Doãn Hòa</v>
      </c>
      <c r="C17" s="78">
        <v>32983</v>
      </c>
      <c r="D17" s="138">
        <f t="shared" ca="1" si="0"/>
        <v>31</v>
      </c>
      <c r="E17" s="77">
        <v>5</v>
      </c>
      <c r="F17" s="77">
        <v>8</v>
      </c>
      <c r="G17" s="77">
        <v>9</v>
      </c>
      <c r="H17" s="77">
        <f t="shared" si="1"/>
        <v>22</v>
      </c>
      <c r="I17" s="77">
        <f t="shared" si="2"/>
        <v>7</v>
      </c>
      <c r="J17" s="77" t="str">
        <f t="shared" si="3"/>
        <v>ĐẬU</v>
      </c>
    </row>
    <row r="18" spans="1:10" ht="19.2" x14ac:dyDescent="0.35">
      <c r="A18" s="136" t="s">
        <v>142</v>
      </c>
      <c r="B18" s="137"/>
      <c r="C18" s="79"/>
      <c r="D18" s="79"/>
      <c r="E18" s="77">
        <f>SUM(E3:E17)</f>
        <v>86</v>
      </c>
      <c r="F18" s="77">
        <f>SUM(F3:F17)</f>
        <v>83</v>
      </c>
      <c r="G18" s="77">
        <f>SUM(G3:G17)</f>
        <v>95</v>
      </c>
      <c r="H18" s="77"/>
      <c r="I18" s="77"/>
      <c r="J18" s="77"/>
    </row>
    <row r="19" spans="1:10" ht="19.2" x14ac:dyDescent="0.35">
      <c r="A19" s="136" t="s">
        <v>143</v>
      </c>
      <c r="B19" s="137"/>
      <c r="C19" s="79"/>
      <c r="D19" s="79"/>
      <c r="E19" s="140">
        <f>AVERAGE(E3:E17)</f>
        <v>5.7333333333333334</v>
      </c>
      <c r="F19" s="141">
        <f>AVERAGE(F3:F17)</f>
        <v>5.5333333333333332</v>
      </c>
      <c r="G19" s="140">
        <f>AVERAGE(G3:G17)</f>
        <v>6.333333333333333</v>
      </c>
      <c r="H19" s="77"/>
      <c r="I19" s="77"/>
      <c r="J19" s="77"/>
    </row>
    <row r="20" spans="1:10" ht="19.2" x14ac:dyDescent="0.35">
      <c r="A20" s="136" t="s">
        <v>144</v>
      </c>
      <c r="B20" s="137"/>
      <c r="C20" s="79"/>
      <c r="D20" s="79"/>
      <c r="E20" s="77">
        <f>MAX(E3:E17)</f>
        <v>9</v>
      </c>
      <c r="F20" s="77">
        <f>MAX(F3:F17)</f>
        <v>9</v>
      </c>
      <c r="G20" s="77">
        <f>MAX(G3:G17)</f>
        <v>9</v>
      </c>
      <c r="H20" s="77"/>
      <c r="I20" s="77"/>
      <c r="J20" s="77"/>
    </row>
    <row r="21" spans="1:10" ht="19.2" x14ac:dyDescent="0.35">
      <c r="A21" s="136" t="s">
        <v>145</v>
      </c>
      <c r="B21" s="137"/>
      <c r="C21" s="79"/>
      <c r="D21" s="79"/>
      <c r="E21" s="77">
        <f>MIN(E3:E17)</f>
        <v>2</v>
      </c>
      <c r="F21" s="77">
        <f>MIN(F3:F17)</f>
        <v>2</v>
      </c>
      <c r="G21" s="77">
        <f>MIN(G3:G17)</f>
        <v>3</v>
      </c>
      <c r="H21" s="77"/>
      <c r="I21" s="77"/>
      <c r="J21" s="77"/>
    </row>
    <row r="23" spans="1:10" ht="21" x14ac:dyDescent="0.4">
      <c r="A23" s="80" t="s">
        <v>52</v>
      </c>
    </row>
    <row r="24" spans="1:10" s="81" customFormat="1" ht="20.399999999999999" x14ac:dyDescent="0.35">
      <c r="A24" s="81" t="s">
        <v>146</v>
      </c>
    </row>
    <row r="25" spans="1:10" s="81" customFormat="1" ht="20.399999999999999" x14ac:dyDescent="0.35">
      <c r="A25" s="81" t="s">
        <v>147</v>
      </c>
      <c r="C25" s="82"/>
    </row>
    <row r="26" spans="1:10" s="81" customFormat="1" ht="20.399999999999999" x14ac:dyDescent="0.35">
      <c r="A26" s="81" t="s">
        <v>148</v>
      </c>
    </row>
    <row r="27" spans="1:10" s="81" customFormat="1" ht="20.399999999999999" x14ac:dyDescent="0.35">
      <c r="A27" s="81" t="s">
        <v>149</v>
      </c>
    </row>
    <row r="28" spans="1:10" s="81" customFormat="1" ht="20.399999999999999" x14ac:dyDescent="0.35">
      <c r="A28" s="81" t="s">
        <v>150</v>
      </c>
    </row>
    <row r="29" spans="1:10" s="81" customFormat="1" ht="20.399999999999999" x14ac:dyDescent="0.35">
      <c r="A29" s="81" t="s">
        <v>151</v>
      </c>
    </row>
    <row r="30" spans="1:10" s="81" customFormat="1" ht="20.399999999999999" x14ac:dyDescent="0.35">
      <c r="A30" s="81" t="s">
        <v>152</v>
      </c>
    </row>
    <row r="31" spans="1:10" s="81" customFormat="1" ht="20.399999999999999" x14ac:dyDescent="0.35">
      <c r="A31" s="81" t="s">
        <v>153</v>
      </c>
    </row>
    <row r="32" spans="1:10" ht="20.399999999999999" x14ac:dyDescent="0.35">
      <c r="A32" s="81" t="s">
        <v>154</v>
      </c>
    </row>
  </sheetData>
  <mergeCells count="5">
    <mergeCell ref="A21:B21"/>
    <mergeCell ref="A20:B20"/>
    <mergeCell ref="A19:B19"/>
    <mergeCell ref="A18:B18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topLeftCell="A10" workbookViewId="0">
      <selection activeCell="I20" sqref="I20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customWidth="1"/>
    <col min="7" max="7" width="20.44140625" bestFit="1" customWidth="1"/>
    <col min="8" max="8" width="13.88671875" customWidth="1"/>
    <col min="9" max="9" width="20.44140625" customWidth="1"/>
  </cols>
  <sheetData>
    <row r="1" spans="1:9" ht="24" thickBot="1" x14ac:dyDescent="0.5">
      <c r="A1" s="125" t="s">
        <v>155</v>
      </c>
      <c r="B1" s="125"/>
      <c r="C1" s="125"/>
      <c r="D1" s="125"/>
      <c r="E1" s="125"/>
      <c r="F1" s="125"/>
      <c r="G1" s="125"/>
      <c r="H1" s="125"/>
      <c r="I1" s="125"/>
    </row>
    <row r="2" spans="1:9" ht="18.600000000000001" thickTop="1" thickBot="1" x14ac:dyDescent="0.4">
      <c r="A2" s="83" t="s">
        <v>156</v>
      </c>
      <c r="B2" s="83" t="s">
        <v>157</v>
      </c>
      <c r="C2" s="83" t="s">
        <v>158</v>
      </c>
      <c r="D2" s="83" t="s">
        <v>159</v>
      </c>
      <c r="E2" s="83" t="s">
        <v>160</v>
      </c>
      <c r="F2" s="83" t="s">
        <v>161</v>
      </c>
      <c r="G2" s="83" t="s">
        <v>162</v>
      </c>
      <c r="H2" s="83" t="s">
        <v>163</v>
      </c>
      <c r="I2" s="83" t="s">
        <v>164</v>
      </c>
    </row>
    <row r="3" spans="1:9" ht="18.600000000000001" thickTop="1" x14ac:dyDescent="0.35">
      <c r="A3" s="84">
        <v>1</v>
      </c>
      <c r="B3" s="84" t="s">
        <v>165</v>
      </c>
      <c r="C3" s="84">
        <v>8</v>
      </c>
      <c r="D3" s="84">
        <v>15</v>
      </c>
      <c r="E3" s="84">
        <v>9</v>
      </c>
      <c r="F3" s="139">
        <f>AVERAGE(C3:E3)</f>
        <v>10.666666666666666</v>
      </c>
      <c r="G3" s="84" t="str">
        <f>IF(F3&lt;10,"FAIL",IF(AND(F3&gt;=10,F3&lt;12),"PASS",IF(AND(F3&gt;=12,F3&lt;14),"GOOD",IF(AND(F3&gt;=14,F3&lt;16),"VERY GOOD","EXCELLENT"))))</f>
        <v>PASS</v>
      </c>
      <c r="H3" s="84">
        <f>RANK(F3,$F$3:$F$13,0)</f>
        <v>8</v>
      </c>
      <c r="I3" s="84" t="str">
        <f>IF(AND(C3&gt;10,D3&gt;10,E3&gt;10,F3&gt;12),"THƯỞNG MỘT KHOÁ HỌC","KHÔNG THƯỞNG")</f>
        <v>KHÔNG THƯỞNG</v>
      </c>
    </row>
    <row r="4" spans="1:9" ht="18" x14ac:dyDescent="0.35">
      <c r="A4" s="84">
        <v>2</v>
      </c>
      <c r="B4" s="84" t="s">
        <v>166</v>
      </c>
      <c r="C4" s="84">
        <v>4</v>
      </c>
      <c r="D4" s="84">
        <v>15</v>
      </c>
      <c r="E4" s="84">
        <v>16</v>
      </c>
      <c r="F4" s="139">
        <f t="shared" ref="F4:F13" si="0">AVERAGE(C4:E4)</f>
        <v>11.666666666666666</v>
      </c>
      <c r="G4" s="84" t="str">
        <f t="shared" ref="G4:G13" si="1">IF(F4&lt;10,"FAIL",IF(AND(F4&gt;=10,F4&lt;12),"PASS",IF(AND(F4&gt;=12,F4&lt;14),"GOOD",IF(AND(F4&gt;=14,F4&lt;16),"VERY GOOD","EXCELLENT"))))</f>
        <v>PASS</v>
      </c>
      <c r="H4" s="84">
        <f t="shared" ref="H4:H13" si="2">RANK(F4,$F$3:$F$13,0)</f>
        <v>5</v>
      </c>
      <c r="I4" s="84" t="str">
        <f t="shared" ref="I4:I13" si="3">IF(AND(C4&gt;10,D4&gt;10,E4&gt;10,F4&gt;12),"THƯỞNG MỘT KHOÁ HỌC","KHÔNG THƯỞNG")</f>
        <v>KHÔNG THƯỞNG</v>
      </c>
    </row>
    <row r="5" spans="1:9" ht="18" x14ac:dyDescent="0.35">
      <c r="A5" s="84">
        <v>3</v>
      </c>
      <c r="B5" s="84" t="s">
        <v>167</v>
      </c>
      <c r="C5" s="84">
        <v>11</v>
      </c>
      <c r="D5" s="84">
        <v>6</v>
      </c>
      <c r="E5" s="84">
        <v>8</v>
      </c>
      <c r="F5" s="139">
        <f t="shared" si="0"/>
        <v>8.3333333333333339</v>
      </c>
      <c r="G5" s="84" t="str">
        <f t="shared" si="1"/>
        <v>FAIL</v>
      </c>
      <c r="H5" s="84">
        <f t="shared" si="2"/>
        <v>10</v>
      </c>
      <c r="I5" s="84" t="str">
        <f t="shared" si="3"/>
        <v>KHÔNG THƯỞNG</v>
      </c>
    </row>
    <row r="6" spans="1:9" ht="18" x14ac:dyDescent="0.35">
      <c r="A6" s="84">
        <v>4</v>
      </c>
      <c r="B6" s="84" t="s">
        <v>168</v>
      </c>
      <c r="C6" s="84">
        <v>17</v>
      </c>
      <c r="D6" s="84">
        <v>16</v>
      </c>
      <c r="E6" s="84">
        <v>3</v>
      </c>
      <c r="F6" s="139">
        <f t="shared" si="0"/>
        <v>12</v>
      </c>
      <c r="G6" s="84" t="str">
        <f t="shared" si="1"/>
        <v>GOOD</v>
      </c>
      <c r="H6" s="84">
        <f t="shared" si="2"/>
        <v>4</v>
      </c>
      <c r="I6" s="84" t="str">
        <f t="shared" si="3"/>
        <v>KHÔNG THƯỞNG</v>
      </c>
    </row>
    <row r="7" spans="1:9" ht="18" x14ac:dyDescent="0.35">
      <c r="A7" s="84">
        <v>5</v>
      </c>
      <c r="B7" s="84" t="s">
        <v>169</v>
      </c>
      <c r="C7" s="84">
        <v>17</v>
      </c>
      <c r="D7" s="84">
        <v>18</v>
      </c>
      <c r="E7" s="84">
        <v>10</v>
      </c>
      <c r="F7" s="139">
        <f t="shared" si="0"/>
        <v>15</v>
      </c>
      <c r="G7" s="84" t="str">
        <f t="shared" si="1"/>
        <v>VERY GOOD</v>
      </c>
      <c r="H7" s="84">
        <f t="shared" si="2"/>
        <v>2</v>
      </c>
      <c r="I7" s="84" t="str">
        <f t="shared" si="3"/>
        <v>KHÔNG THƯỞNG</v>
      </c>
    </row>
    <row r="8" spans="1:9" ht="18" x14ac:dyDescent="0.35">
      <c r="A8" s="84">
        <v>6</v>
      </c>
      <c r="B8" s="84" t="s">
        <v>170</v>
      </c>
      <c r="C8" s="84">
        <v>6</v>
      </c>
      <c r="D8" s="84">
        <v>5</v>
      </c>
      <c r="E8" s="84">
        <v>13</v>
      </c>
      <c r="F8" s="139">
        <f t="shared" si="0"/>
        <v>8</v>
      </c>
      <c r="G8" s="84" t="str">
        <f t="shared" si="1"/>
        <v>FAIL</v>
      </c>
      <c r="H8" s="84">
        <f t="shared" si="2"/>
        <v>11</v>
      </c>
      <c r="I8" s="84" t="str">
        <f t="shared" si="3"/>
        <v>KHÔNG THƯỞNG</v>
      </c>
    </row>
    <row r="9" spans="1:9" ht="18" x14ac:dyDescent="0.35">
      <c r="A9" s="84">
        <v>7</v>
      </c>
      <c r="B9" s="84" t="s">
        <v>171</v>
      </c>
      <c r="C9" s="84">
        <v>18</v>
      </c>
      <c r="D9" s="84">
        <v>19</v>
      </c>
      <c r="E9" s="84">
        <v>15</v>
      </c>
      <c r="F9" s="139">
        <f t="shared" si="0"/>
        <v>17.333333333333332</v>
      </c>
      <c r="G9" s="84" t="str">
        <f t="shared" si="1"/>
        <v>EXCELLENT</v>
      </c>
      <c r="H9" s="84">
        <f t="shared" si="2"/>
        <v>1</v>
      </c>
      <c r="I9" s="84" t="str">
        <f t="shared" si="3"/>
        <v>THƯỞNG MỘT KHOÁ HỌC</v>
      </c>
    </row>
    <row r="10" spans="1:9" ht="18" x14ac:dyDescent="0.35">
      <c r="A10" s="84">
        <v>8</v>
      </c>
      <c r="B10" s="84" t="s">
        <v>172</v>
      </c>
      <c r="C10" s="84">
        <v>15</v>
      </c>
      <c r="D10" s="84">
        <v>8</v>
      </c>
      <c r="E10" s="84">
        <v>6</v>
      </c>
      <c r="F10" s="139">
        <f t="shared" si="0"/>
        <v>9.6666666666666661</v>
      </c>
      <c r="G10" s="84" t="str">
        <f t="shared" si="1"/>
        <v>FAIL</v>
      </c>
      <c r="H10" s="84">
        <f t="shared" si="2"/>
        <v>9</v>
      </c>
      <c r="I10" s="84" t="str">
        <f t="shared" si="3"/>
        <v>KHÔNG THƯỞNG</v>
      </c>
    </row>
    <row r="11" spans="1:9" ht="18" x14ac:dyDescent="0.35">
      <c r="A11" s="84">
        <v>9</v>
      </c>
      <c r="B11" s="84" t="s">
        <v>173</v>
      </c>
      <c r="C11" s="84">
        <v>15</v>
      </c>
      <c r="D11" s="84">
        <v>4</v>
      </c>
      <c r="E11" s="84">
        <v>16</v>
      </c>
      <c r="F11" s="139">
        <f t="shared" si="0"/>
        <v>11.666666666666666</v>
      </c>
      <c r="G11" s="84" t="str">
        <f t="shared" si="1"/>
        <v>PASS</v>
      </c>
      <c r="H11" s="84">
        <f t="shared" si="2"/>
        <v>5</v>
      </c>
      <c r="I11" s="84" t="str">
        <f t="shared" si="3"/>
        <v>KHÔNG THƯỞNG</v>
      </c>
    </row>
    <row r="12" spans="1:9" ht="18" x14ac:dyDescent="0.35">
      <c r="A12" s="84">
        <v>10</v>
      </c>
      <c r="B12" s="84" t="s">
        <v>168</v>
      </c>
      <c r="C12" s="84">
        <v>6</v>
      </c>
      <c r="D12" s="84">
        <v>11</v>
      </c>
      <c r="E12" s="84">
        <v>18</v>
      </c>
      <c r="F12" s="139">
        <f t="shared" si="0"/>
        <v>11.666666666666666</v>
      </c>
      <c r="G12" s="84" t="str">
        <f t="shared" si="1"/>
        <v>PASS</v>
      </c>
      <c r="H12" s="84">
        <f t="shared" si="2"/>
        <v>5</v>
      </c>
      <c r="I12" s="84" t="str">
        <f t="shared" si="3"/>
        <v>KHÔNG THƯỞNG</v>
      </c>
    </row>
    <row r="13" spans="1:9" ht="18" x14ac:dyDescent="0.35">
      <c r="A13" s="84">
        <v>11</v>
      </c>
      <c r="B13" s="84" t="s">
        <v>174</v>
      </c>
      <c r="C13" s="84">
        <v>16</v>
      </c>
      <c r="D13" s="84">
        <v>17</v>
      </c>
      <c r="E13" s="84">
        <v>5</v>
      </c>
      <c r="F13" s="139">
        <f t="shared" si="0"/>
        <v>12.666666666666666</v>
      </c>
      <c r="G13" s="84" t="str">
        <f t="shared" si="1"/>
        <v>GOOD</v>
      </c>
      <c r="H13" s="84">
        <f t="shared" si="2"/>
        <v>3</v>
      </c>
      <c r="I13" s="84" t="str">
        <f t="shared" si="3"/>
        <v>KHÔNG THƯỞNG</v>
      </c>
    </row>
    <row r="14" spans="1:9" ht="18" x14ac:dyDescent="0.35">
      <c r="B14" s="85"/>
      <c r="C14" s="85"/>
      <c r="D14" s="85"/>
      <c r="E14" s="85"/>
    </row>
    <row r="15" spans="1:9" ht="18" x14ac:dyDescent="0.35">
      <c r="A15" s="86" t="s">
        <v>121</v>
      </c>
      <c r="C15" s="85"/>
    </row>
    <row r="16" spans="1:9" s="87" customFormat="1" ht="21" x14ac:dyDescent="0.4">
      <c r="A16" s="87" t="s">
        <v>175</v>
      </c>
      <c r="B16" s="88"/>
    </row>
    <row r="17" spans="1:3" s="87" customFormat="1" ht="21" x14ac:dyDescent="0.4">
      <c r="A17" s="87" t="s">
        <v>176</v>
      </c>
    </row>
    <row r="18" spans="1:3" s="87" customFormat="1" ht="21" x14ac:dyDescent="0.4">
      <c r="B18" s="87" t="s">
        <v>177</v>
      </c>
    </row>
    <row r="19" spans="1:3" s="87" customFormat="1" ht="21" x14ac:dyDescent="0.4">
      <c r="B19" s="87" t="s">
        <v>178</v>
      </c>
      <c r="C19" s="89"/>
    </row>
    <row r="20" spans="1:3" s="87" customFormat="1" ht="21" x14ac:dyDescent="0.4">
      <c r="B20" s="87" t="s">
        <v>179</v>
      </c>
      <c r="C20" s="89"/>
    </row>
    <row r="21" spans="1:3" s="87" customFormat="1" ht="21" x14ac:dyDescent="0.4">
      <c r="B21" s="87" t="s">
        <v>180</v>
      </c>
      <c r="C21" s="89"/>
    </row>
    <row r="22" spans="1:3" s="90" customFormat="1" ht="21" x14ac:dyDescent="0.4">
      <c r="B22" s="87" t="s">
        <v>181</v>
      </c>
      <c r="C22" s="89"/>
    </row>
    <row r="23" spans="1:3" s="90" customFormat="1" ht="21" x14ac:dyDescent="0.4">
      <c r="A23" s="87" t="s">
        <v>182</v>
      </c>
      <c r="C23" s="89"/>
    </row>
    <row r="24" spans="1:3" s="90" customFormat="1" ht="21" x14ac:dyDescent="0.4">
      <c r="A24" s="87" t="s">
        <v>183</v>
      </c>
    </row>
    <row r="25" spans="1:3" s="90" customFormat="1" ht="21" x14ac:dyDescent="0.4">
      <c r="A25" s="87" t="s">
        <v>184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J29"/>
  <sheetViews>
    <sheetView workbookViewId="0">
      <selection activeCell="H3" sqref="H3"/>
    </sheetView>
  </sheetViews>
  <sheetFormatPr defaultColWidth="9.109375" defaultRowHeight="15" x14ac:dyDescent="0.25"/>
  <cols>
    <col min="1" max="1" width="20" style="91" bestFit="1" customWidth="1"/>
    <col min="2" max="2" width="18" style="91" customWidth="1"/>
    <col min="3" max="4" width="9.109375" style="91"/>
    <col min="5" max="5" width="17.5546875" style="91" customWidth="1"/>
    <col min="6" max="6" width="13.5546875" style="91" customWidth="1"/>
    <col min="7" max="7" width="14.5546875" style="91" customWidth="1"/>
    <col min="8" max="8" width="15.44140625" style="91" customWidth="1"/>
    <col min="9" max="9" width="9.109375" style="91"/>
    <col min="10" max="10" width="14.33203125" style="91" bestFit="1" customWidth="1"/>
    <col min="11" max="16384" width="9.109375" style="91"/>
  </cols>
  <sheetData>
    <row r="1" spans="1:10" ht="21.6" thickBot="1" x14ac:dyDescent="0.45">
      <c r="A1" s="126" t="s">
        <v>185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31.2" x14ac:dyDescent="0.25">
      <c r="A2" s="92" t="s">
        <v>186</v>
      </c>
      <c r="B2" s="93" t="s">
        <v>187</v>
      </c>
      <c r="C2" s="93" t="s">
        <v>188</v>
      </c>
      <c r="D2" s="93" t="s">
        <v>189</v>
      </c>
      <c r="E2" s="93" t="s">
        <v>190</v>
      </c>
      <c r="F2" s="93" t="s">
        <v>191</v>
      </c>
      <c r="G2" s="93" t="s">
        <v>192</v>
      </c>
      <c r="H2" s="93" t="s">
        <v>193</v>
      </c>
      <c r="I2" s="93" t="s">
        <v>194</v>
      </c>
      <c r="J2" s="94" t="s">
        <v>195</v>
      </c>
    </row>
    <row r="3" spans="1:10" ht="19.5" customHeight="1" x14ac:dyDescent="0.25">
      <c r="A3" s="95" t="s">
        <v>196</v>
      </c>
      <c r="B3" s="96">
        <v>111223</v>
      </c>
      <c r="C3" s="97">
        <v>8</v>
      </c>
      <c r="D3" s="97">
        <v>7.1</v>
      </c>
      <c r="E3" s="97">
        <v>8.4</v>
      </c>
      <c r="F3" s="97"/>
      <c r="G3" s="97" t="s">
        <v>197</v>
      </c>
      <c r="H3" s="97"/>
      <c r="I3" s="97"/>
      <c r="J3" s="98"/>
    </row>
    <row r="4" spans="1:10" ht="19.5" customHeight="1" x14ac:dyDescent="0.25">
      <c r="A4" s="95" t="s">
        <v>198</v>
      </c>
      <c r="B4" s="96">
        <v>444555666</v>
      </c>
      <c r="C4" s="97">
        <v>10</v>
      </c>
      <c r="D4" s="97">
        <v>7</v>
      </c>
      <c r="E4" s="97">
        <v>8</v>
      </c>
      <c r="F4" s="97"/>
      <c r="G4" s="97" t="s">
        <v>199</v>
      </c>
      <c r="H4" s="97"/>
      <c r="I4" s="97"/>
      <c r="J4" s="98"/>
    </row>
    <row r="5" spans="1:10" ht="19.5" customHeight="1" x14ac:dyDescent="0.25">
      <c r="A5" s="95" t="s">
        <v>200</v>
      </c>
      <c r="B5" s="96">
        <v>777889999</v>
      </c>
      <c r="C5" s="97">
        <v>7</v>
      </c>
      <c r="D5" s="97">
        <v>7</v>
      </c>
      <c r="E5" s="97">
        <v>6</v>
      </c>
      <c r="F5" s="97"/>
      <c r="G5" s="97" t="s">
        <v>197</v>
      </c>
      <c r="H5" s="97"/>
      <c r="I5" s="97"/>
      <c r="J5" s="98"/>
    </row>
    <row r="6" spans="1:10" ht="19.5" customHeight="1" x14ac:dyDescent="0.25">
      <c r="A6" s="95" t="s">
        <v>201</v>
      </c>
      <c r="B6" s="96">
        <v>123456789</v>
      </c>
      <c r="C6" s="97">
        <v>6.5</v>
      </c>
      <c r="D6" s="97">
        <v>6.5</v>
      </c>
      <c r="E6" s="97">
        <v>6</v>
      </c>
      <c r="F6" s="97"/>
      <c r="G6" s="97" t="s">
        <v>197</v>
      </c>
      <c r="H6" s="97"/>
      <c r="I6" s="97"/>
      <c r="J6" s="98"/>
    </row>
    <row r="7" spans="1:10" ht="19.5" customHeight="1" x14ac:dyDescent="0.25">
      <c r="A7" s="95" t="s">
        <v>202</v>
      </c>
      <c r="B7" s="96">
        <v>999999999</v>
      </c>
      <c r="C7" s="97">
        <v>7</v>
      </c>
      <c r="D7" s="97">
        <v>7</v>
      </c>
      <c r="E7" s="97">
        <v>6</v>
      </c>
      <c r="F7" s="97"/>
      <c r="G7" s="97" t="s">
        <v>197</v>
      </c>
      <c r="H7" s="97"/>
      <c r="I7" s="97"/>
      <c r="J7" s="98"/>
    </row>
    <row r="8" spans="1:10" ht="19.5" customHeight="1" x14ac:dyDescent="0.25">
      <c r="A8" s="95" t="s">
        <v>203</v>
      </c>
      <c r="B8" s="96">
        <v>888888888</v>
      </c>
      <c r="C8" s="97">
        <v>9</v>
      </c>
      <c r="D8" s="97">
        <v>9</v>
      </c>
      <c r="E8" s="97">
        <v>7</v>
      </c>
      <c r="F8" s="97"/>
      <c r="G8" s="97" t="s">
        <v>197</v>
      </c>
      <c r="H8" s="97"/>
      <c r="I8" s="97"/>
      <c r="J8" s="98"/>
    </row>
    <row r="9" spans="1:10" ht="19.5" customHeight="1" x14ac:dyDescent="0.25">
      <c r="A9" s="95" t="s">
        <v>204</v>
      </c>
      <c r="B9" s="96">
        <v>100000000</v>
      </c>
      <c r="C9" s="97">
        <v>6</v>
      </c>
      <c r="D9" s="97">
        <v>4</v>
      </c>
      <c r="E9" s="97">
        <v>4</v>
      </c>
      <c r="F9" s="97"/>
      <c r="G9" s="97" t="s">
        <v>199</v>
      </c>
      <c r="H9" s="97"/>
      <c r="I9" s="97"/>
      <c r="J9" s="98"/>
    </row>
    <row r="10" spans="1:10" ht="19.5" customHeight="1" x14ac:dyDescent="0.25">
      <c r="A10" s="95" t="s">
        <v>27</v>
      </c>
      <c r="B10" s="96">
        <v>222222222</v>
      </c>
      <c r="C10" s="97">
        <v>7.5</v>
      </c>
      <c r="D10" s="97">
        <v>7</v>
      </c>
      <c r="E10" s="97">
        <v>9.5</v>
      </c>
      <c r="F10" s="97"/>
      <c r="G10" s="97" t="s">
        <v>197</v>
      </c>
      <c r="H10" s="97"/>
      <c r="I10" s="97"/>
      <c r="J10" s="98"/>
    </row>
    <row r="11" spans="1:10" ht="19.5" customHeight="1" x14ac:dyDescent="0.25">
      <c r="A11" s="95" t="s">
        <v>205</v>
      </c>
      <c r="B11" s="96">
        <v>200000000</v>
      </c>
      <c r="C11" s="97">
        <v>8</v>
      </c>
      <c r="D11" s="97">
        <v>9</v>
      </c>
      <c r="E11" s="97">
        <v>7</v>
      </c>
      <c r="F11" s="97"/>
      <c r="G11" s="97" t="s">
        <v>197</v>
      </c>
      <c r="H11" s="97"/>
      <c r="I11" s="97"/>
      <c r="J11" s="98"/>
    </row>
    <row r="12" spans="1:10" ht="19.5" customHeight="1" x14ac:dyDescent="0.25">
      <c r="A12" s="95" t="s">
        <v>206</v>
      </c>
      <c r="B12" s="96">
        <v>444444444</v>
      </c>
      <c r="C12" s="97">
        <v>8.1999999999999993</v>
      </c>
      <c r="D12" s="97">
        <v>7.8</v>
      </c>
      <c r="E12" s="97">
        <v>7.7</v>
      </c>
      <c r="F12" s="97"/>
      <c r="G12" s="97" t="s">
        <v>199</v>
      </c>
      <c r="H12" s="97"/>
      <c r="I12" s="97"/>
      <c r="J12" s="98"/>
    </row>
    <row r="13" spans="1:10" ht="15.6" thickBot="1" x14ac:dyDescent="0.3">
      <c r="A13" s="99" t="s">
        <v>207</v>
      </c>
      <c r="B13" s="100">
        <v>555555555</v>
      </c>
      <c r="C13" s="101">
        <v>6</v>
      </c>
      <c r="D13" s="101">
        <v>8.8000000000000007</v>
      </c>
      <c r="E13" s="101">
        <v>5</v>
      </c>
      <c r="F13" s="97"/>
      <c r="G13" s="101" t="s">
        <v>199</v>
      </c>
      <c r="H13" s="97"/>
      <c r="I13" s="97"/>
      <c r="J13" s="98"/>
    </row>
    <row r="14" spans="1:10" ht="19.5" customHeight="1" x14ac:dyDescent="0.25"/>
    <row r="15" spans="1:10" ht="15.6" thickBot="1" x14ac:dyDescent="0.3"/>
    <row r="16" spans="1:10" ht="17.399999999999999" x14ac:dyDescent="0.3">
      <c r="A16" s="102" t="s">
        <v>208</v>
      </c>
      <c r="B16" s="103">
        <v>0.3</v>
      </c>
      <c r="C16" s="103">
        <v>0.3</v>
      </c>
      <c r="D16" s="104">
        <v>0.4</v>
      </c>
      <c r="E16" s="127" t="s">
        <v>209</v>
      </c>
      <c r="G16" s="129" t="s">
        <v>194</v>
      </c>
      <c r="H16" s="130"/>
    </row>
    <row r="17" spans="1:8" ht="15.6" x14ac:dyDescent="0.3">
      <c r="A17" s="95" t="s">
        <v>210</v>
      </c>
      <c r="B17" s="97"/>
      <c r="C17" s="97"/>
      <c r="D17" s="98"/>
      <c r="E17" s="128"/>
      <c r="G17" s="97">
        <v>0</v>
      </c>
      <c r="H17" s="105" t="s">
        <v>211</v>
      </c>
    </row>
    <row r="18" spans="1:8" ht="16.2" thickBot="1" x14ac:dyDescent="0.35">
      <c r="A18" s="95" t="s">
        <v>212</v>
      </c>
      <c r="B18" s="97"/>
      <c r="C18" s="97"/>
      <c r="D18" s="98"/>
      <c r="E18" s="106">
        <v>3</v>
      </c>
      <c r="G18" s="97">
        <v>6</v>
      </c>
      <c r="H18" s="105" t="s">
        <v>213</v>
      </c>
    </row>
    <row r="19" spans="1:8" ht="16.2" thickBot="1" x14ac:dyDescent="0.35">
      <c r="A19" s="99" t="s">
        <v>214</v>
      </c>
      <c r="B19" s="101"/>
      <c r="C19" s="101"/>
      <c r="D19" s="107"/>
      <c r="G19" s="97">
        <v>7</v>
      </c>
      <c r="H19" s="105" t="s">
        <v>215</v>
      </c>
    </row>
    <row r="20" spans="1:8" ht="15.6" x14ac:dyDescent="0.3">
      <c r="G20" s="97">
        <v>8</v>
      </c>
      <c r="H20" s="105" t="s">
        <v>216</v>
      </c>
    </row>
    <row r="21" spans="1:8" ht="15.6" x14ac:dyDescent="0.3">
      <c r="G21" s="97">
        <v>9</v>
      </c>
      <c r="H21" s="105" t="s">
        <v>217</v>
      </c>
    </row>
    <row r="29" spans="1:8" x14ac:dyDescent="0.25">
      <c r="G29" s="91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Nguyen Thien Tam</cp:lastModifiedBy>
  <dcterms:created xsi:type="dcterms:W3CDTF">2021-11-03T00:51:30Z</dcterms:created>
  <dcterms:modified xsi:type="dcterms:W3CDTF">2021-11-04T10:32:41Z</dcterms:modified>
</cp:coreProperties>
</file>