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ass-my.sharepoint.com/personal/taddagatla_umass_edu/Documents/"/>
    </mc:Choice>
  </mc:AlternateContent>
  <xr:revisionPtr revIDLastSave="1" documentId="8_{6DC0A60A-A858-43FF-B92A-33FD88EF4ECC}" xr6:coauthVersionLast="47" xr6:coauthVersionMax="47" xr10:uidLastSave="{47C16177-CE90-4CAE-93F9-CBC079A8318F}"/>
  <bookViews>
    <workbookView xWindow="-120" yWindow="-120" windowWidth="15600" windowHeight="9120" firstSheet="3" activeTab="3" xr2:uid="{00000000-000D-0000-FFFF-FFFF00000000}"/>
  </bookViews>
  <sheets>
    <sheet name="Documentation" sheetId="40" r:id="rId1"/>
    <sheet name="Management" sheetId="34" r:id="rId2"/>
    <sheet name="Change" sheetId="37" r:id="rId3"/>
    <sheet name="Process" sheetId="39" r:id="rId4"/>
    <sheet name="Process Providers" sheetId="36" r:id="rId5"/>
    <sheet name="Scenario Summary" sheetId="41" r:id="rId6"/>
    <sheet name="Scenario PivotTable" sheetId="42" r:id="rId7"/>
    <sheet name="All Types" sheetId="35" r:id="rId8"/>
  </sheets>
  <definedNames>
    <definedName name="Fixed_Costs_Change">'All Types'!$C$11</definedName>
    <definedName name="Fixed_Costs_Management">'All Types'!$B$11</definedName>
    <definedName name="Fixed_Costs_Process">'All Types'!$D$11</definedName>
    <definedName name="Hours_Contracted_Change">Change!$B$10</definedName>
    <definedName name="Hours_Contracted_Management">Management!$B$10</definedName>
    <definedName name="Hours_Contracted_Process">Process!$B$10</definedName>
    <definedName name="Hours_Sold_Change">Change!$B$4</definedName>
    <definedName name="Hours_Sold_Management">Management!$B$4</definedName>
    <definedName name="Hours_Sold_Process">Process!$B$4</definedName>
    <definedName name="Price_Per_Hour_Change">'All Types'!$C$6</definedName>
    <definedName name="Price_Per_Hour_Management">'All Types'!$B$6</definedName>
    <definedName name="Price_Per_Hour_Process">'All Types'!$D$6</definedName>
    <definedName name="Profit_Per_Hour_Contracted_Change">'All Types'!$C$17</definedName>
    <definedName name="Profit_Per_Hour_Contracted_Management">'All Types'!$B$17</definedName>
    <definedName name="Profit_Per_Hour_Contracted_Process">'All Types'!$D$17</definedName>
    <definedName name="solver_adj" localSheetId="4" hidden="1">'Process Providers'!$B$4:$D$4</definedName>
    <definedName name="solver_cvg" localSheetId="4" hidden="1">0.0001</definedName>
    <definedName name="solver_drv" localSheetId="4" hidden="1">1</definedName>
    <definedName name="solver_eng" localSheetId="4" hidden="1">1</definedName>
    <definedName name="solver_est" localSheetId="4" hidden="1">1</definedName>
    <definedName name="solver_itr" localSheetId="4" hidden="1">2147483647</definedName>
    <definedName name="solver_lhs1" localSheetId="4" hidden="1">'Process Providers'!$B$4:$D$4</definedName>
    <definedName name="solver_lhs2" localSheetId="4" hidden="1">'Process Providers'!$B$4:$D$4</definedName>
    <definedName name="solver_lhs3" localSheetId="4" hidden="1">'Process Providers'!$E$10</definedName>
    <definedName name="solver_lhs4" localSheetId="4" hidden="1">'Process Providers'!$E$4</definedName>
    <definedName name="solver_mip" localSheetId="4" hidden="1">2147483647</definedName>
    <definedName name="solver_mni" localSheetId="4" hidden="1">30</definedName>
    <definedName name="solver_mrt" localSheetId="4" hidden="1">0.075</definedName>
    <definedName name="solver_msl" localSheetId="4" hidden="1">2</definedName>
    <definedName name="solver_neg" localSheetId="4" hidden="1">1</definedName>
    <definedName name="solver_nod" localSheetId="4" hidden="1">2147483647</definedName>
    <definedName name="solver_num" localSheetId="4" hidden="1">4</definedName>
    <definedName name="solver_nwt" localSheetId="4" hidden="1">1</definedName>
    <definedName name="solver_opt" localSheetId="4" hidden="1">'Process Providers'!$E$10</definedName>
    <definedName name="solver_pre" localSheetId="4" hidden="1">0.000001</definedName>
    <definedName name="solver_rbv" localSheetId="4" hidden="1">1</definedName>
    <definedName name="solver_rel1" localSheetId="4" hidden="1">1</definedName>
    <definedName name="solver_rel2" localSheetId="4" hidden="1">4</definedName>
    <definedName name="solver_rel3" localSheetId="4" hidden="1">1</definedName>
    <definedName name="solver_rel4" localSheetId="4" hidden="1">2</definedName>
    <definedName name="solver_rhs1" localSheetId="4" hidden="1">5000</definedName>
    <definedName name="solver_rhs2" localSheetId="4" hidden="1">"integer"</definedName>
    <definedName name="solver_rhs3" localSheetId="4" hidden="1">1350000</definedName>
    <definedName name="solver_rhs4" localSheetId="4" hidden="1">5500</definedName>
    <definedName name="solver_rlx" localSheetId="4" hidden="1">2</definedName>
    <definedName name="solver_rsd" localSheetId="4" hidden="1">0</definedName>
    <definedName name="solver_scl" localSheetId="4" hidden="1">1</definedName>
    <definedName name="solver_sho" localSheetId="4" hidden="1">2</definedName>
    <definedName name="solver_ssz" localSheetId="4" hidden="1">100</definedName>
    <definedName name="solver_tim" localSheetId="4" hidden="1">2147483647</definedName>
    <definedName name="solver_tol" localSheetId="4" hidden="1">0.01</definedName>
    <definedName name="solver_typ" localSheetId="4" hidden="1">2</definedName>
    <definedName name="solver_val" localSheetId="4" hidden="1">0</definedName>
    <definedName name="solver_ver" localSheetId="4" hidden="1">3</definedName>
    <definedName name="Total_Fixed_Cost_Change">Change!$B$14</definedName>
    <definedName name="Total_Fixed_Cost_Management">Management!$B$14</definedName>
    <definedName name="Total_Fixed_Cost_Process">Process!$B$14</definedName>
    <definedName name="Total_Profit_Change">Change!$B$21</definedName>
    <definedName name="Total_Profit_Management">Management!$B$21</definedName>
    <definedName name="Total_Profit_Process">Process!$B$21</definedName>
    <definedName name="Total_Variable_Costs_Change">Change!$B$12</definedName>
    <definedName name="Total_Variable_Costs_Management">Management!$B$12</definedName>
    <definedName name="Total_Variable_Costs_Process">Process!$B$12</definedName>
    <definedName name="Var_Cost_Per_Hour_Change">'All Types'!$C$12</definedName>
    <definedName name="Var_Cost_Per_Hour_Management">'All Types'!$B$12</definedName>
    <definedName name="Var_Cost_Per_Hour_Process">'All Types'!$D$12</definedName>
    <definedName name="Variable_Cost_Per_Hour_Change">Change!$B$11</definedName>
    <definedName name="Variable_Cost_Per_Hour_Management">Management!$B$11</definedName>
    <definedName name="Variable_Cost_Per_Hour_Process">Process!$B$11</definedName>
    <definedName name="Variable_Costs_Change">'All Types'!$C$13</definedName>
    <definedName name="Variable_Costs_Management">'All Types'!$B$13</definedName>
    <definedName name="Variable_Costs_Process">'All Types'!$D$13</definedName>
  </definedNames>
  <calcPr calcId="191029"/>
  <pivotCaches>
    <pivotCache cacheId="2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1" i="36" l="1"/>
  <c r="A20" i="36"/>
  <c r="A19" i="36"/>
  <c r="A18" i="36"/>
  <c r="A17" i="36" a="1"/>
  <c r="A17" i="36" s="1"/>
  <c r="A16" i="36" a="1"/>
  <c r="A16" i="36" s="1"/>
  <c r="A15" i="36"/>
  <c r="A14" i="36"/>
  <c r="D5" i="34"/>
  <c r="D14" i="35"/>
  <c r="C14" i="35"/>
  <c r="B14" i="35"/>
  <c r="B5" i="35"/>
  <c r="B7" i="35" s="1"/>
  <c r="B10" i="34"/>
  <c r="B26" i="34" s="1"/>
  <c r="B6" i="34"/>
  <c r="B19" i="34" s="1"/>
  <c r="E5" i="34" s="1"/>
  <c r="D5" i="35"/>
  <c r="D7" i="35" s="1"/>
  <c r="C5" i="35"/>
  <c r="C7" i="35" s="1"/>
  <c r="E4" i="36"/>
  <c r="B8" i="36"/>
  <c r="B10" i="36" s="1"/>
  <c r="C8" i="36"/>
  <c r="C10" i="36" s="1"/>
  <c r="D8" i="36"/>
  <c r="D10" i="36" s="1"/>
  <c r="D7" i="36"/>
  <c r="C7" i="36"/>
  <c r="B7" i="36"/>
  <c r="B6" i="39"/>
  <c r="B19" i="39" s="1"/>
  <c r="B10" i="39"/>
  <c r="D10" i="35" s="1"/>
  <c r="B24" i="39"/>
  <c r="B25" i="39"/>
  <c r="B6" i="37"/>
  <c r="B19" i="37" s="1"/>
  <c r="B10" i="37"/>
  <c r="C10" i="35" s="1"/>
  <c r="B24" i="34"/>
  <c r="B24" i="37"/>
  <c r="B25" i="37"/>
  <c r="D16" i="35" l="1"/>
  <c r="D17" i="35" s="1"/>
  <c r="B16" i="35"/>
  <c r="B17" i="35" s="1"/>
  <c r="E10" i="36"/>
  <c r="B12" i="34"/>
  <c r="B15" i="34" s="1"/>
  <c r="B20" i="34" s="1"/>
  <c r="B27" i="37"/>
  <c r="B12" i="37"/>
  <c r="B15" i="37" s="1"/>
  <c r="B16" i="37" s="1"/>
  <c r="B27" i="39"/>
  <c r="B12" i="39"/>
  <c r="B15" i="39" s="1"/>
  <c r="B20" i="39" s="1"/>
  <c r="B21" i="39"/>
  <c r="D5" i="39" s="1"/>
  <c r="C16" i="35"/>
  <c r="C17" i="35" s="1"/>
  <c r="E5" i="37"/>
  <c r="B16" i="39"/>
  <c r="B20" i="37"/>
  <c r="F5" i="37" s="1"/>
  <c r="B10" i="35"/>
  <c r="B16" i="34" l="1"/>
  <c r="B25" i="34" s="1"/>
  <c r="B27" i="34" s="1"/>
  <c r="F5" i="34"/>
  <c r="B21" i="34"/>
  <c r="B21" i="37"/>
  <c r="G5" i="37" s="1"/>
  <c r="D14" i="34" l="1"/>
  <c r="G5" i="34"/>
</calcChain>
</file>

<file path=xl/sharedStrings.xml><?xml version="1.0" encoding="utf-8"?>
<sst xmlns="http://schemas.openxmlformats.org/spreadsheetml/2006/main" count="145" uniqueCount="76">
  <si>
    <t>Note: Do not edit this sheet. If your name does not appear in cell B6, please download a new copy of the file from the SAM website.</t>
  </si>
  <si>
    <t>Thilak Addagatla</t>
  </si>
  <si>
    <t>Author:</t>
  </si>
  <si>
    <t>Sales</t>
  </si>
  <si>
    <t>Total Sales</t>
  </si>
  <si>
    <t>Expenses</t>
  </si>
  <si>
    <t>Variable Expenses</t>
  </si>
  <si>
    <t>Total Variable Costs</t>
  </si>
  <si>
    <t>Fixed Expenses</t>
  </si>
  <si>
    <t>Total Fixed Cost</t>
  </si>
  <si>
    <t>Expenses - Total</t>
  </si>
  <si>
    <t>Profit</t>
  </si>
  <si>
    <t>Total Expenses</t>
  </si>
  <si>
    <t>Gross Profit</t>
  </si>
  <si>
    <t>Break-even Analysis</t>
  </si>
  <si>
    <t>Cairo Consulting - Management</t>
  </si>
  <si>
    <t>Hours Contracted</t>
  </si>
  <si>
    <t>Total Expense Per Hour Contracted</t>
  </si>
  <si>
    <t>Management - Profit Analysis</t>
  </si>
  <si>
    <t>Management - Gross Profit Analysis</t>
  </si>
  <si>
    <t>Fixed Costs</t>
  </si>
  <si>
    <t>Cairo Consulting - Organizational Change</t>
  </si>
  <si>
    <t>Organizational Change - Break-Even Analysis</t>
  </si>
  <si>
    <t>Cairo Consulting - Process</t>
  </si>
  <si>
    <t>Process Consulting - Net Income Analysis</t>
  </si>
  <si>
    <t>Total</t>
  </si>
  <si>
    <t>Variable Costs</t>
  </si>
  <si>
    <t>Total Costs</t>
  </si>
  <si>
    <t>Minimum Total Cost Model</t>
  </si>
  <si>
    <t>Cairo Consulting - Process Consulting Providers</t>
  </si>
  <si>
    <t>Revenues</t>
  </si>
  <si>
    <t>Cost of Goods Sold</t>
  </si>
  <si>
    <t>Total Profit</t>
  </si>
  <si>
    <t>Cairo Consulting - Product Mix</t>
  </si>
  <si>
    <t>Management</t>
  </si>
  <si>
    <t>Organizational Change</t>
  </si>
  <si>
    <t>Process</t>
  </si>
  <si>
    <t>Hours Provided</t>
  </si>
  <si>
    <t>Process Pros</t>
  </si>
  <si>
    <t>ABQ Consulting</t>
  </si>
  <si>
    <t>Tema Han</t>
  </si>
  <si>
    <t>Cairo Consulting</t>
  </si>
  <si>
    <t>Hour Contracted</t>
  </si>
  <si>
    <t>Hours Sold</t>
  </si>
  <si>
    <t>Break-Even Analysis</t>
  </si>
  <si>
    <t>EXPLORE BUSINESS OPTIONS WITH WHAT-IF TOOLS</t>
  </si>
  <si>
    <t>Price Per Hour</t>
  </si>
  <si>
    <t>Variable Cost Per Hour</t>
  </si>
  <si>
    <t>Cost Per Hour</t>
  </si>
  <si>
    <t>Average Price Per Hour</t>
  </si>
  <si>
    <t>Fixed Cost Per Hour</t>
  </si>
  <si>
    <t>Profit Per Hour Contracted</t>
  </si>
  <si>
    <t>Price_Per_Hour_Management</t>
  </si>
  <si>
    <t>Price_Per_Hour_Change</t>
  </si>
  <si>
    <t>Price_Per_Hour_Process</t>
  </si>
  <si>
    <t>Fixed_Costs_Management</t>
  </si>
  <si>
    <t>Fixed_Costs_Change</t>
  </si>
  <si>
    <t>Fixed_Costs_Process</t>
  </si>
  <si>
    <t>Variable_Costs_Management</t>
  </si>
  <si>
    <t>Variable_Costs_Change</t>
  </si>
  <si>
    <t>Variable_Costs_Process</t>
  </si>
  <si>
    <t>Profit_Per_Hour_Contracted_Mana</t>
  </si>
  <si>
    <t>Profit_Per_Hour_Contracted_Chan</t>
  </si>
  <si>
    <t>Profit_Per_Hour_Contracted_Proc</t>
  </si>
  <si>
    <t>Status Quo</t>
  </si>
  <si>
    <t>Raise Rates</t>
  </si>
  <si>
    <t>Third Party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</si>
  <si>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</si>
  <si>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</si>
  <si>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</si>
  <si>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</si>
  <si>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</si>
  <si>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</si>
  <si>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</si>
  <si>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Row Labels</t>
  </si>
  <si>
    <t>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</si>
</sst>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&quot;$&quot;#,##0.00;[Red]\-&quot;$&quot;#,##0.00"/>
    <numFmt numFmtId="165" formatCode="_-&quot;$&quot;* #,##0.00_-;\-&quot;$&quot;* #,##0.00_-;_-&quot;$&quot;* &quot;-&quot;??_-;_-@_-"/>
    <numFmt numFmtId="166" formatCode="_-&quot;$&quot;* #,##0_-;\-&quot;$&quot;* #,##0_-;_-&quot;$&quot;* &quot;-&quot;??_-;_-@_-"/>
    <numFmt numFmtId="167" formatCode="_(* #,##0_);_(* \(#,##0\);_(* &quot;-&quot;??_);_(@_)"/>
    <numFmt numFmtId="168" formatCode="##,##0.00_);[Red]\(#,##0.00\)"/>
    <numFmt numFmtId="169" formatCode="##,##0_);[Red]\(#,##0\)"/>
    <numFmt numFmtId="170" formatCode="&quot;Hours Contracted&quot;"/>
    <numFmt numFmtId="171" formatCode="&quot;Hours/Price&quot;"/>
    <numFmt numFmtId="172" formatCode="&quot;$&quot;#,##0.00"/>
  </numFmts>
  <fonts count="2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0"/>
      <name val="Century Gothic"/>
      <family val="2"/>
    </font>
    <font>
      <sz val="10"/>
      <name val="Century Gothic"/>
      <family val="2"/>
    </font>
    <font>
      <i/>
      <sz val="10"/>
      <color rgb="FFCC6600"/>
      <name val="Century Gothic"/>
      <family val="2"/>
    </font>
    <font>
      <sz val="11"/>
      <color rgb="FF000000"/>
      <name val="Century Gothic"/>
      <family val="2"/>
    </font>
    <font>
      <sz val="28"/>
      <color rgb="FF0070C0"/>
      <name val="Century Gothic"/>
      <family val="2"/>
    </font>
    <font>
      <sz val="10"/>
      <color rgb="FF0070C0"/>
      <name val="Century Gothic"/>
      <family val="2"/>
    </font>
    <font>
      <sz val="11"/>
      <color rgb="FF4B4C4C"/>
      <name val="Century Gothic"/>
      <family val="2"/>
    </font>
    <font>
      <sz val="10"/>
      <color theme="0"/>
      <name val="Century Gothic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21">
    <border>
      <left/>
      <right/>
      <top/>
      <bottom/>
      <diagonal/>
    </border>
    <border>
      <left/>
      <right style="thick">
        <color rgb="FF93A5B2"/>
      </right>
      <top/>
      <bottom/>
      <diagonal/>
    </border>
    <border>
      <left/>
      <right/>
      <top/>
      <bottom style="thin">
        <color rgb="FF93A5B2"/>
      </bottom>
      <diagonal/>
    </border>
    <border>
      <left/>
      <right/>
      <top/>
      <bottom style="thick">
        <color rgb="FF93A5B2"/>
      </bottom>
      <diagonal/>
    </border>
    <border>
      <left/>
      <right style="thick">
        <color rgb="FF93A5B2"/>
      </right>
      <top/>
      <bottom style="thick">
        <color rgb="FF93A5B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theme="4" tint="0.39997558519241921"/>
      </bottom>
      <diagonal/>
    </border>
    <border>
      <left/>
      <right/>
      <top style="thin">
        <color theme="4" tint="0.39997558519241921"/>
      </top>
      <bottom style="double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theme="4" tint="0.39997558519241921"/>
      </right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1" fillId="0" borderId="0"/>
    <xf numFmtId="0" fontId="5" fillId="2" borderId="0">
      <alignment vertical="top" wrapText="1"/>
    </xf>
    <xf numFmtId="0" fontId="6" fillId="2" borderId="0">
      <alignment vertical="top" wrapText="1"/>
    </xf>
    <xf numFmtId="0" fontId="5" fillId="2" borderId="0">
      <alignment vertical="top" wrapText="1"/>
    </xf>
    <xf numFmtId="0" fontId="1" fillId="0" borderId="0"/>
    <xf numFmtId="0" fontId="10" fillId="4" borderId="0" applyNumberFormat="0" applyBorder="0" applyAlignment="0" applyProtection="0"/>
    <xf numFmtId="165" fontId="10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2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0" borderId="0"/>
  </cellStyleXfs>
  <cellXfs count="102">
    <xf numFmtId="0" fontId="0" fillId="0" borderId="0" xfId="0"/>
    <xf numFmtId="0" fontId="3" fillId="2" borderId="1" xfId="5" applyFont="1" applyFill="1" applyBorder="1" applyAlignment="1">
      <alignment horizontal="left"/>
    </xf>
    <xf numFmtId="0" fontId="7" fillId="2" borderId="1" xfId="5" applyFont="1" applyFill="1" applyBorder="1" applyAlignment="1">
      <alignment horizontal="left" wrapText="1"/>
    </xf>
    <xf numFmtId="0" fontId="4" fillId="3" borderId="2" xfId="5" applyFont="1" applyFill="1" applyBorder="1" applyAlignment="1">
      <alignment horizontal="left"/>
    </xf>
    <xf numFmtId="0" fontId="8" fillId="2" borderId="0" xfId="2" applyFont="1" applyBorder="1" applyAlignment="1">
      <alignment horizontal="left" vertical="top" wrapText="1"/>
    </xf>
    <xf numFmtId="0" fontId="6" fillId="2" borderId="0" xfId="3" applyBorder="1" applyAlignment="1">
      <alignment horizontal="left" vertical="top" wrapText="1"/>
    </xf>
    <xf numFmtId="0" fontId="0" fillId="0" borderId="0" xfId="0" applyAlignment="1">
      <alignment horizontal="left" indent="1"/>
    </xf>
    <xf numFmtId="0" fontId="14" fillId="0" borderId="5" xfId="9"/>
    <xf numFmtId="0" fontId="0" fillId="0" borderId="8" xfId="0" applyBorder="1" applyAlignment="1">
      <alignment horizontal="left" indent="1"/>
    </xf>
    <xf numFmtId="0" fontId="0" fillId="0" borderId="9" xfId="0" applyBorder="1" applyAlignment="1">
      <alignment horizontal="left" indent="1"/>
    </xf>
    <xf numFmtId="0" fontId="0" fillId="0" borderId="10" xfId="0" applyBorder="1" applyAlignment="1">
      <alignment horizontal="left" indent="1"/>
    </xf>
    <xf numFmtId="165" fontId="0" fillId="0" borderId="8" xfId="0" applyNumberFormat="1" applyBorder="1"/>
    <xf numFmtId="165" fontId="0" fillId="0" borderId="0" xfId="0" applyNumberFormat="1"/>
    <xf numFmtId="165" fontId="0" fillId="0" borderId="10" xfId="0" applyNumberFormat="1" applyBorder="1"/>
    <xf numFmtId="166" fontId="0" fillId="0" borderId="0" xfId="0" applyNumberFormat="1"/>
    <xf numFmtId="0" fontId="10" fillId="6" borderId="13" xfId="11" applyBorder="1" applyAlignment="1">
      <alignment horizontal="center"/>
    </xf>
    <xf numFmtId="0" fontId="10" fillId="6" borderId="0" xfId="11" applyBorder="1" applyAlignment="1">
      <alignment horizontal="center"/>
    </xf>
    <xf numFmtId="0" fontId="10" fillId="6" borderId="14" xfId="11" applyBorder="1" applyAlignment="1">
      <alignment horizontal="center"/>
    </xf>
    <xf numFmtId="166" fontId="0" fillId="0" borderId="6" xfId="0" applyNumberFormat="1" applyBorder="1"/>
    <xf numFmtId="166" fontId="0" fillId="0" borderId="16" xfId="0" applyNumberFormat="1" applyBorder="1"/>
    <xf numFmtId="166" fontId="0" fillId="0" borderId="7" xfId="0" applyNumberFormat="1" applyBorder="1"/>
    <xf numFmtId="166" fontId="0" fillId="0" borderId="12" xfId="0" applyNumberFormat="1" applyBorder="1"/>
    <xf numFmtId="166" fontId="0" fillId="0" borderId="0" xfId="0" applyNumberFormat="1" applyBorder="1"/>
    <xf numFmtId="166" fontId="0" fillId="0" borderId="14" xfId="0" applyNumberFormat="1" applyBorder="1"/>
    <xf numFmtId="165" fontId="0" fillId="0" borderId="6" xfId="0" applyNumberFormat="1" applyBorder="1"/>
    <xf numFmtId="165" fontId="0" fillId="0" borderId="16" xfId="0" applyNumberFormat="1" applyBorder="1"/>
    <xf numFmtId="167" fontId="0" fillId="0" borderId="0" xfId="0" applyNumberFormat="1" applyAlignment="1">
      <alignment horizontal="right" indent="1"/>
    </xf>
    <xf numFmtId="40" fontId="0" fillId="0" borderId="7" xfId="0" applyNumberFormat="1" applyBorder="1"/>
    <xf numFmtId="168" fontId="0" fillId="0" borderId="0" xfId="0" applyNumberFormat="1" applyBorder="1"/>
    <xf numFmtId="168" fontId="0" fillId="0" borderId="6" xfId="0" applyNumberFormat="1" applyBorder="1"/>
    <xf numFmtId="40" fontId="0" fillId="0" borderId="12" xfId="0" applyNumberFormat="1" applyBorder="1"/>
    <xf numFmtId="168" fontId="0" fillId="0" borderId="14" xfId="0" applyNumberFormat="1" applyBorder="1"/>
    <xf numFmtId="168" fontId="0" fillId="0" borderId="16" xfId="0" applyNumberFormat="1" applyBorder="1"/>
    <xf numFmtId="167" fontId="0" fillId="0" borderId="15" xfId="0" applyNumberFormat="1" applyBorder="1"/>
    <xf numFmtId="167" fontId="0" fillId="0" borderId="11" xfId="0" applyNumberFormat="1" applyBorder="1"/>
    <xf numFmtId="167" fontId="0" fillId="0" borderId="13" xfId="0" applyNumberFormat="1" applyBorder="1"/>
    <xf numFmtId="0" fontId="0" fillId="0" borderId="5" xfId="0" applyBorder="1"/>
    <xf numFmtId="168" fontId="0" fillId="0" borderId="7" xfId="0" applyNumberFormat="1" applyBorder="1"/>
    <xf numFmtId="168" fontId="0" fillId="0" borderId="12" xfId="0" applyNumberFormat="1" applyBorder="1"/>
    <xf numFmtId="169" fontId="0" fillId="0" borderId="0" xfId="0" applyNumberFormat="1" applyBorder="1"/>
    <xf numFmtId="0" fontId="10" fillId="6" borderId="11" xfId="11" applyBorder="1" applyAlignment="1">
      <alignment horizontal="center"/>
    </xf>
    <xf numFmtId="0" fontId="10" fillId="6" borderId="7" xfId="11" applyBorder="1" applyAlignment="1">
      <alignment horizontal="center"/>
    </xf>
    <xf numFmtId="0" fontId="10" fillId="6" borderId="12" xfId="11" applyBorder="1" applyAlignment="1">
      <alignment horizontal="center"/>
    </xf>
    <xf numFmtId="169" fontId="0" fillId="0" borderId="6" xfId="0" applyNumberFormat="1" applyBorder="1"/>
    <xf numFmtId="169" fontId="0" fillId="0" borderId="16" xfId="0" applyNumberFormat="1" applyBorder="1"/>
    <xf numFmtId="169" fontId="0" fillId="0" borderId="7" xfId="0" applyNumberFormat="1" applyBorder="1"/>
    <xf numFmtId="169" fontId="0" fillId="0" borderId="12" xfId="0" applyNumberFormat="1" applyBorder="1"/>
    <xf numFmtId="169" fontId="0" fillId="0" borderId="14" xfId="0" applyNumberFormat="1" applyBorder="1"/>
    <xf numFmtId="0" fontId="0" fillId="0" borderId="9" xfId="0" applyBorder="1"/>
    <xf numFmtId="0" fontId="15" fillId="0" borderId="9" xfId="0" applyFont="1" applyBorder="1"/>
    <xf numFmtId="166" fontId="15" fillId="0" borderId="9" xfId="7" applyNumberFormat="1" applyFont="1" applyBorder="1"/>
    <xf numFmtId="165" fontId="0" fillId="0" borderId="0" xfId="7" applyFont="1"/>
    <xf numFmtId="169" fontId="0" fillId="0" borderId="9" xfId="0" applyNumberFormat="1" applyBorder="1"/>
    <xf numFmtId="43" fontId="0" fillId="0" borderId="0" xfId="0" applyNumberFormat="1" applyBorder="1"/>
    <xf numFmtId="43" fontId="0" fillId="0" borderId="9" xfId="0" applyNumberFormat="1" applyBorder="1"/>
    <xf numFmtId="0" fontId="11" fillId="5" borderId="0" xfId="10" applyFont="1"/>
    <xf numFmtId="0" fontId="11" fillId="5" borderId="0" xfId="10" applyFont="1" applyAlignment="1">
      <alignment horizontal="center" vertical="center" wrapText="1"/>
    </xf>
    <xf numFmtId="0" fontId="16" fillId="0" borderId="5" xfId="0" applyFont="1" applyBorder="1"/>
    <xf numFmtId="0" fontId="0" fillId="0" borderId="17" xfId="0" applyBorder="1"/>
    <xf numFmtId="0" fontId="15" fillId="4" borderId="10" xfId="6" applyFont="1" applyBorder="1"/>
    <xf numFmtId="164" fontId="15" fillId="4" borderId="10" xfId="6" applyNumberFormat="1" applyFont="1" applyBorder="1"/>
    <xf numFmtId="166" fontId="0" fillId="0" borderId="17" xfId="7" applyNumberFormat="1" applyFont="1" applyBorder="1"/>
    <xf numFmtId="170" fontId="0" fillId="0" borderId="15" xfId="0" applyNumberFormat="1" applyBorder="1" applyAlignment="1">
      <alignment horizontal="center"/>
    </xf>
    <xf numFmtId="0" fontId="1" fillId="0" borderId="0" xfId="5"/>
    <xf numFmtId="0" fontId="3" fillId="0" borderId="0" xfId="5" applyFont="1" applyAlignment="1">
      <alignment vertical="center"/>
    </xf>
    <xf numFmtId="0" fontId="10" fillId="0" borderId="0" xfId="12"/>
    <xf numFmtId="0" fontId="3" fillId="2" borderId="0" xfId="5" applyFont="1" applyFill="1" applyAlignment="1">
      <alignment horizontal="left"/>
    </xf>
    <xf numFmtId="0" fontId="1" fillId="0" borderId="0" xfId="5" applyAlignment="1">
      <alignment wrapText="1"/>
    </xf>
    <xf numFmtId="0" fontId="3" fillId="2" borderId="0" xfId="5" applyFont="1" applyFill="1" applyAlignment="1">
      <alignment horizontal="right"/>
    </xf>
    <xf numFmtId="171" fontId="0" fillId="0" borderId="15" xfId="7" applyNumberFormat="1" applyFont="1" applyBorder="1"/>
    <xf numFmtId="0" fontId="0" fillId="0" borderId="0" xfId="0" applyFill="1" applyBorder="1" applyAlignment="1"/>
    <xf numFmtId="165" fontId="0" fillId="0" borderId="0" xfId="0" applyNumberFormat="1" applyFill="1" applyBorder="1" applyAlignment="1"/>
    <xf numFmtId="164" fontId="0" fillId="0" borderId="0" xfId="0" applyNumberFormat="1" applyFill="1" applyBorder="1" applyAlignment="1"/>
    <xf numFmtId="164" fontId="0" fillId="0" borderId="19" xfId="0" applyNumberFormat="1" applyFill="1" applyBorder="1" applyAlignment="1"/>
    <xf numFmtId="0" fontId="17" fillId="7" borderId="8" xfId="0" applyFont="1" applyFill="1" applyBorder="1" applyAlignment="1">
      <alignment horizontal="left"/>
    </xf>
    <xf numFmtId="0" fontId="17" fillId="7" borderId="18" xfId="0" applyFont="1" applyFill="1" applyBorder="1" applyAlignment="1">
      <alignment horizontal="left"/>
    </xf>
    <xf numFmtId="0" fontId="0" fillId="0" borderId="20" xfId="0" applyFill="1" applyBorder="1" applyAlignment="1"/>
    <xf numFmtId="0" fontId="18" fillId="8" borderId="0" xfId="0" applyFont="1" applyFill="1" applyBorder="1" applyAlignment="1">
      <alignment horizontal="left"/>
    </xf>
    <xf numFmtId="0" fontId="19" fillId="8" borderId="20" xfId="0" applyFont="1" applyFill="1" applyBorder="1" applyAlignment="1">
      <alignment horizontal="left"/>
    </xf>
    <xf numFmtId="0" fontId="18" fillId="8" borderId="19" xfId="0" applyFont="1" applyFill="1" applyBorder="1" applyAlignment="1">
      <alignment horizontal="left"/>
    </xf>
    <xf numFmtId="0" fontId="20" fillId="7" borderId="18" xfId="0" applyFont="1" applyFill="1" applyBorder="1" applyAlignment="1">
      <alignment horizontal="right"/>
    </xf>
    <xf numFmtId="0" fontId="20" fillId="7" borderId="8" xfId="0" applyFont="1" applyFill="1" applyBorder="1" applyAlignment="1">
      <alignment horizontal="right"/>
    </xf>
    <xf numFmtId="165" fontId="0" fillId="9" borderId="0" xfId="0" applyNumberFormat="1" applyFill="1" applyBorder="1" applyAlignment="1"/>
    <xf numFmtId="0" fontId="21" fillId="0" borderId="0" xfId="0" applyFont="1" applyFill="1" applyBorder="1" applyAlignment="1"/>
    <xf numFmtId="0" fontId="0" fillId="0" borderId="0" xfId="0" pivotButton="1"/>
    <xf numFmtId="0" fontId="0" fillId="0" borderId="0" xfId="0" applyAlignment="1">
      <alignment horizontal="left"/>
    </xf>
    <xf numFmtId="172" fontId="0" fillId="0" borderId="0" xfId="0" applyNumberFormat="1"/>
    <xf numFmtId="0" fontId="13" fillId="0" borderId="0" xfId="8"/>
    <xf numFmtId="0" fontId="9" fillId="0" borderId="0" xfId="5" applyFont="1" applyAlignment="1">
      <alignment horizontal="left" vertical="center" indent="7"/>
    </xf>
    <xf numFmtId="0" fontId="9" fillId="0" borderId="1" xfId="5" applyFont="1" applyBorder="1" applyAlignment="1">
      <alignment horizontal="left" vertical="center" indent="7"/>
    </xf>
    <xf numFmtId="0" fontId="2" fillId="2" borderId="0" xfId="5" applyFont="1" applyFill="1" applyAlignment="1">
      <alignment horizontal="center" vertical="center" wrapText="1"/>
    </xf>
    <xf numFmtId="0" fontId="2" fillId="2" borderId="1" xfId="5" applyFont="1" applyFill="1" applyBorder="1" applyAlignment="1">
      <alignment horizontal="center" vertical="center" wrapText="1"/>
    </xf>
    <xf numFmtId="0" fontId="2" fillId="2" borderId="3" xfId="5" applyFont="1" applyFill="1" applyBorder="1" applyAlignment="1">
      <alignment horizontal="center" vertical="center" wrapText="1"/>
    </xf>
    <xf numFmtId="0" fontId="2" fillId="2" borderId="4" xfId="5" applyFont="1" applyFill="1" applyBorder="1" applyAlignment="1">
      <alignment horizontal="center" vertical="center" wrapText="1"/>
    </xf>
    <xf numFmtId="0" fontId="12" fillId="5" borderId="11" xfId="10" applyBorder="1" applyAlignment="1">
      <alignment horizontal="center"/>
    </xf>
    <xf numFmtId="0" fontId="12" fillId="5" borderId="7" xfId="10" applyBorder="1" applyAlignment="1">
      <alignment horizontal="center"/>
    </xf>
    <xf numFmtId="0" fontId="12" fillId="5" borderId="12" xfId="10" applyBorder="1" applyAlignment="1">
      <alignment horizontal="center"/>
    </xf>
    <xf numFmtId="0" fontId="13" fillId="0" borderId="0" xfId="8" applyAlignment="1">
      <alignment horizontal="left"/>
    </xf>
    <xf numFmtId="0" fontId="0" fillId="6" borderId="11" xfId="11" applyFont="1" applyBorder="1" applyAlignment="1">
      <alignment horizontal="center"/>
    </xf>
    <xf numFmtId="0" fontId="10" fillId="6" borderId="7" xfId="11" applyBorder="1" applyAlignment="1">
      <alignment horizontal="center"/>
    </xf>
    <xf numFmtId="0" fontId="10" fillId="6" borderId="12" xfId="11" applyBorder="1" applyAlignment="1">
      <alignment horizontal="center"/>
    </xf>
    <xf numFmtId="0" fontId="13" fillId="0" borderId="9" xfId="8" applyBorder="1" applyAlignment="1">
      <alignment horizontal="left"/>
    </xf>
  </cellXfs>
  <cellStyles count="13">
    <cellStyle name="20% - Accent1" xfId="11" builtinId="30"/>
    <cellStyle name="20% - Accent5" xfId="6" builtinId="46"/>
    <cellStyle name="Accent1" xfId="10" builtinId="29"/>
    <cellStyle name="Currency" xfId="7" builtinId="4"/>
    <cellStyle name="Heading 3" xfId="9" builtinId="18"/>
    <cellStyle name="Normal" xfId="0" builtinId="0"/>
    <cellStyle name="Normal 2" xfId="1" xr:uid="{00000000-0005-0000-0000-000003000000}"/>
    <cellStyle name="Normal 2 2" xfId="5" xr:uid="{00000000-0005-0000-0000-000004000000}"/>
    <cellStyle name="Normal 3" xfId="12" xr:uid="{0BBB0F61-BB45-499F-B551-F1BCC0B08219}"/>
    <cellStyle name="Project Header" xfId="4" xr:uid="{00000000-0005-0000-0000-000006000000}"/>
    <cellStyle name="Student Name" xfId="3" xr:uid="{00000000-0005-0000-0000-000007000000}"/>
    <cellStyle name="Submission" xfId="2" xr:uid="{00000000-0005-0000-0000-000008000000}"/>
    <cellStyle name="Title" xfId="8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Change!$E$4</c:f>
              <c:strCache>
                <c:ptCount val="1"/>
                <c:pt idx="0">
                  <c:v>Total Sales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Change!$D$5:$D$14</c:f>
              <c:numCache>
                <c:formatCode>_(* #,##0_);_(* \(#,##0\);_(* "-"??_);_(@_)</c:formatCode>
                <c:ptCount val="10"/>
                <c:pt idx="0">
                  <c:v>3750</c:v>
                </c:pt>
                <c:pt idx="1">
                  <c:v>3000</c:v>
                </c:pt>
                <c:pt idx="2">
                  <c:v>3250</c:v>
                </c:pt>
                <c:pt idx="3">
                  <c:v>3500</c:v>
                </c:pt>
                <c:pt idx="4">
                  <c:v>3750</c:v>
                </c:pt>
                <c:pt idx="5">
                  <c:v>4000</c:v>
                </c:pt>
                <c:pt idx="6">
                  <c:v>4250</c:v>
                </c:pt>
                <c:pt idx="7">
                  <c:v>4500</c:v>
                </c:pt>
                <c:pt idx="8">
                  <c:v>4750</c:v>
                </c:pt>
                <c:pt idx="9">
                  <c:v>5000</c:v>
                </c:pt>
              </c:numCache>
            </c:numRef>
          </c:xVal>
          <c:yVal>
            <c:numRef>
              <c:f>Change!$E$5:$E$14</c:f>
              <c:numCache>
                <c:formatCode>##,##0_);[Red]\(#,##0\)</c:formatCode>
                <c:ptCount val="10"/>
                <c:pt idx="0">
                  <c:v>1425000</c:v>
                </c:pt>
                <c:pt idx="1">
                  <c:v>1140000</c:v>
                </c:pt>
                <c:pt idx="2">
                  <c:v>1235000</c:v>
                </c:pt>
                <c:pt idx="3">
                  <c:v>1330000</c:v>
                </c:pt>
                <c:pt idx="4">
                  <c:v>1425000</c:v>
                </c:pt>
                <c:pt idx="5">
                  <c:v>1520000</c:v>
                </c:pt>
                <c:pt idx="6">
                  <c:v>1615000</c:v>
                </c:pt>
                <c:pt idx="7">
                  <c:v>1710000</c:v>
                </c:pt>
                <c:pt idx="8">
                  <c:v>1805000</c:v>
                </c:pt>
                <c:pt idx="9">
                  <c:v>1900000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B06-4630-922C-780DFF6ED629}"/>
            </c:ext>
          </c:extLst>
        </c:ser>
        <c:ser>
          <c:idx val="1"/>
          <c:order val="1"/>
          <c:tx>
            <c:strRef>
              <c:f>Change!$F$4</c:f>
              <c:strCache>
                <c:ptCount val="1"/>
                <c:pt idx="0">
                  <c:v>Total Expenses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Change!$D$5:$D$14</c:f>
              <c:numCache>
                <c:formatCode>_(* #,##0_);_(* \(#,##0\);_(* "-"??_);_(@_)</c:formatCode>
                <c:ptCount val="10"/>
                <c:pt idx="0">
                  <c:v>3750</c:v>
                </c:pt>
                <c:pt idx="1">
                  <c:v>3000</c:v>
                </c:pt>
                <c:pt idx="2">
                  <c:v>3250</c:v>
                </c:pt>
                <c:pt idx="3">
                  <c:v>3500</c:v>
                </c:pt>
                <c:pt idx="4">
                  <c:v>3750</c:v>
                </c:pt>
                <c:pt idx="5">
                  <c:v>4000</c:v>
                </c:pt>
                <c:pt idx="6">
                  <c:v>4250</c:v>
                </c:pt>
                <c:pt idx="7">
                  <c:v>4500</c:v>
                </c:pt>
                <c:pt idx="8">
                  <c:v>4750</c:v>
                </c:pt>
                <c:pt idx="9">
                  <c:v>5000</c:v>
                </c:pt>
              </c:numCache>
            </c:numRef>
          </c:xVal>
          <c:yVal>
            <c:numRef>
              <c:f>Change!$F$5:$F$14</c:f>
              <c:numCache>
                <c:formatCode>##,##0_);[Red]\(#,##0\)</c:formatCode>
                <c:ptCount val="10"/>
                <c:pt idx="0">
                  <c:v>1373750</c:v>
                </c:pt>
                <c:pt idx="1">
                  <c:v>1175000</c:v>
                </c:pt>
                <c:pt idx="2">
                  <c:v>1241250</c:v>
                </c:pt>
                <c:pt idx="3">
                  <c:v>1307500</c:v>
                </c:pt>
                <c:pt idx="4">
                  <c:v>1373750</c:v>
                </c:pt>
                <c:pt idx="5">
                  <c:v>1440000</c:v>
                </c:pt>
                <c:pt idx="6">
                  <c:v>1506250</c:v>
                </c:pt>
                <c:pt idx="7">
                  <c:v>1572500</c:v>
                </c:pt>
                <c:pt idx="8">
                  <c:v>1638750</c:v>
                </c:pt>
                <c:pt idx="9">
                  <c:v>1705000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B06-4630-922C-780DFF6ED629}"/>
            </c:ext>
          </c:extLst>
        </c:ser>
        <c:ser>
          <c:idx val="2"/>
          <c:order val="2"/>
          <c:tx>
            <c:strRef>
              <c:f>Change!$G$4</c:f>
              <c:strCache>
                <c:ptCount val="1"/>
                <c:pt idx="0">
                  <c:v>Gross Profit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Change!$D$5:$D$14</c:f>
              <c:numCache>
                <c:formatCode>_(* #,##0_);_(* \(#,##0\);_(* "-"??_);_(@_)</c:formatCode>
                <c:ptCount val="10"/>
                <c:pt idx="0">
                  <c:v>3750</c:v>
                </c:pt>
                <c:pt idx="1">
                  <c:v>3000</c:v>
                </c:pt>
                <c:pt idx="2">
                  <c:v>3250</c:v>
                </c:pt>
                <c:pt idx="3">
                  <c:v>3500</c:v>
                </c:pt>
                <c:pt idx="4">
                  <c:v>3750</c:v>
                </c:pt>
                <c:pt idx="5">
                  <c:v>4000</c:v>
                </c:pt>
                <c:pt idx="6">
                  <c:v>4250</c:v>
                </c:pt>
                <c:pt idx="7">
                  <c:v>4500</c:v>
                </c:pt>
                <c:pt idx="8">
                  <c:v>4750</c:v>
                </c:pt>
                <c:pt idx="9">
                  <c:v>5000</c:v>
                </c:pt>
              </c:numCache>
            </c:numRef>
          </c:xVal>
          <c:yVal>
            <c:numRef>
              <c:f>Change!$G$5:$G$14</c:f>
              <c:numCache>
                <c:formatCode>##,##0_);[Red]\(#,##0\)</c:formatCode>
                <c:ptCount val="10"/>
                <c:pt idx="0">
                  <c:v>51250</c:v>
                </c:pt>
                <c:pt idx="1">
                  <c:v>-35000</c:v>
                </c:pt>
                <c:pt idx="2">
                  <c:v>-6250</c:v>
                </c:pt>
                <c:pt idx="3">
                  <c:v>22500</c:v>
                </c:pt>
                <c:pt idx="4">
                  <c:v>51250</c:v>
                </c:pt>
                <c:pt idx="5">
                  <c:v>80000</c:v>
                </c:pt>
                <c:pt idx="6">
                  <c:v>108750</c:v>
                </c:pt>
                <c:pt idx="7">
                  <c:v>137500</c:v>
                </c:pt>
                <c:pt idx="8">
                  <c:v>166250</c:v>
                </c:pt>
                <c:pt idx="9">
                  <c:v>195000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B06-4630-922C-780DFF6ED6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3878560"/>
        <c:axId val="407725408"/>
      </c:scatterChart>
      <c:valAx>
        <c:axId val="1033878560"/>
        <c:scaling>
          <c:orientation val="minMax"/>
          <c:max val="5000"/>
          <c:min val="3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  <a:r>
                  <a:rPr lang="en-US" baseline="0"/>
                  <a:t> Contracted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7725408"/>
        <c:crosses val="autoZero"/>
        <c:crossBetween val="midCat"/>
      </c:valAx>
      <c:valAx>
        <c:axId val="407725408"/>
        <c:scaling>
          <c:orientation val="minMax"/>
          <c:max val="2000000"/>
          <c:min val="1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Sales</a:t>
                </a:r>
                <a:r>
                  <a:rPr lang="en-US" baseline="0"/>
                  <a:t> and Expenses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38785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Process!$E$5</c:f>
              <c:strCache>
                <c:ptCount val="1"/>
                <c:pt idx="0">
                  <c:v> $270.00 </c:v>
                </c:pt>
              </c:strCache>
            </c:strRef>
          </c:tx>
          <c:spPr>
            <a:ln w="19050" cap="rnd">
              <a:solidFill>
                <a:schemeClr val="accent1">
                  <a:shade val="53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Process!$D$6:$D$14</c:f>
              <c:numCache>
                <c:formatCode>_(* #,##0_);_(* \(#,##0\);_(* "-"??_);_(@_)</c:formatCode>
                <c:ptCount val="9"/>
                <c:pt idx="0">
                  <c:v>3500</c:v>
                </c:pt>
                <c:pt idx="1">
                  <c:v>4000</c:v>
                </c:pt>
                <c:pt idx="2">
                  <c:v>4500</c:v>
                </c:pt>
                <c:pt idx="3">
                  <c:v>5000</c:v>
                </c:pt>
                <c:pt idx="4">
                  <c:v>5500</c:v>
                </c:pt>
                <c:pt idx="5">
                  <c:v>6000</c:v>
                </c:pt>
                <c:pt idx="6">
                  <c:v>6500</c:v>
                </c:pt>
                <c:pt idx="7">
                  <c:v>7000</c:v>
                </c:pt>
                <c:pt idx="8">
                  <c:v>7500</c:v>
                </c:pt>
              </c:numCache>
            </c:numRef>
          </c:xVal>
          <c:yVal>
            <c:numRef>
              <c:f>Process!$E$6:$E$14</c:f>
              <c:numCache>
                <c:formatCode>##,##0.00_);[Red]\(#,##0.00\)</c:formatCode>
                <c:ptCount val="9"/>
                <c:pt idx="0">
                  <c:v>-92500</c:v>
                </c:pt>
                <c:pt idx="1">
                  <c:v>-50000</c:v>
                </c:pt>
                <c:pt idx="2">
                  <c:v>-7500</c:v>
                </c:pt>
                <c:pt idx="3">
                  <c:v>35000</c:v>
                </c:pt>
                <c:pt idx="4">
                  <c:v>77500</c:v>
                </c:pt>
                <c:pt idx="5">
                  <c:v>120000</c:v>
                </c:pt>
                <c:pt idx="6">
                  <c:v>162500</c:v>
                </c:pt>
                <c:pt idx="7">
                  <c:v>205000</c:v>
                </c:pt>
                <c:pt idx="8">
                  <c:v>247500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15F-4EFC-BDF8-3C0CEFBB3180}"/>
            </c:ext>
          </c:extLst>
        </c:ser>
        <c:ser>
          <c:idx val="1"/>
          <c:order val="1"/>
          <c:tx>
            <c:strRef>
              <c:f>Process!$F$5</c:f>
              <c:strCache>
                <c:ptCount val="1"/>
                <c:pt idx="0">
                  <c:v> $280.00 </c:v>
                </c:pt>
              </c:strCache>
            </c:strRef>
          </c:tx>
          <c:spPr>
            <a:ln w="19050" cap="rnd">
              <a:solidFill>
                <a:schemeClr val="accent1">
                  <a:shade val="76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Process!$D$6:$D$14</c:f>
              <c:numCache>
                <c:formatCode>_(* #,##0_);_(* \(#,##0\);_(* "-"??_);_(@_)</c:formatCode>
                <c:ptCount val="9"/>
                <c:pt idx="0">
                  <c:v>3500</c:v>
                </c:pt>
                <c:pt idx="1">
                  <c:v>4000</c:v>
                </c:pt>
                <c:pt idx="2">
                  <c:v>4500</c:v>
                </c:pt>
                <c:pt idx="3">
                  <c:v>5000</c:v>
                </c:pt>
                <c:pt idx="4">
                  <c:v>5500</c:v>
                </c:pt>
                <c:pt idx="5">
                  <c:v>6000</c:v>
                </c:pt>
                <c:pt idx="6">
                  <c:v>6500</c:v>
                </c:pt>
                <c:pt idx="7">
                  <c:v>7000</c:v>
                </c:pt>
                <c:pt idx="8">
                  <c:v>7500</c:v>
                </c:pt>
              </c:numCache>
            </c:numRef>
          </c:xVal>
          <c:yVal>
            <c:numRef>
              <c:f>Process!$F$6:$F$14</c:f>
              <c:numCache>
                <c:formatCode>##,##0.00_);[Red]\(#,##0.00\)</c:formatCode>
                <c:ptCount val="9"/>
                <c:pt idx="0">
                  <c:v>-57500</c:v>
                </c:pt>
                <c:pt idx="1">
                  <c:v>-10000</c:v>
                </c:pt>
                <c:pt idx="2">
                  <c:v>37500</c:v>
                </c:pt>
                <c:pt idx="3">
                  <c:v>85000</c:v>
                </c:pt>
                <c:pt idx="4">
                  <c:v>132500</c:v>
                </c:pt>
                <c:pt idx="5">
                  <c:v>180000</c:v>
                </c:pt>
                <c:pt idx="6">
                  <c:v>227500</c:v>
                </c:pt>
                <c:pt idx="7">
                  <c:v>275000</c:v>
                </c:pt>
                <c:pt idx="8">
                  <c:v>322500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15F-4EFC-BDF8-3C0CEFBB3180}"/>
            </c:ext>
          </c:extLst>
        </c:ser>
        <c:ser>
          <c:idx val="2"/>
          <c:order val="2"/>
          <c:tx>
            <c:strRef>
              <c:f>Process!$G$5</c:f>
              <c:strCache>
                <c:ptCount val="1"/>
                <c:pt idx="0">
                  <c:v> $290.00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Process!$D$6:$D$14</c:f>
              <c:numCache>
                <c:formatCode>_(* #,##0_);_(* \(#,##0\);_(* "-"??_);_(@_)</c:formatCode>
                <c:ptCount val="9"/>
                <c:pt idx="0">
                  <c:v>3500</c:v>
                </c:pt>
                <c:pt idx="1">
                  <c:v>4000</c:v>
                </c:pt>
                <c:pt idx="2">
                  <c:v>4500</c:v>
                </c:pt>
                <c:pt idx="3">
                  <c:v>5000</c:v>
                </c:pt>
                <c:pt idx="4">
                  <c:v>5500</c:v>
                </c:pt>
                <c:pt idx="5">
                  <c:v>6000</c:v>
                </c:pt>
                <c:pt idx="6">
                  <c:v>6500</c:v>
                </c:pt>
                <c:pt idx="7">
                  <c:v>7000</c:v>
                </c:pt>
                <c:pt idx="8">
                  <c:v>7500</c:v>
                </c:pt>
              </c:numCache>
            </c:numRef>
          </c:xVal>
          <c:yVal>
            <c:numRef>
              <c:f>Process!$G$6:$G$14</c:f>
              <c:numCache>
                <c:formatCode>##,##0.00_);[Red]\(#,##0.00\)</c:formatCode>
                <c:ptCount val="9"/>
                <c:pt idx="0">
                  <c:v>-22500</c:v>
                </c:pt>
                <c:pt idx="1">
                  <c:v>30000</c:v>
                </c:pt>
                <c:pt idx="2">
                  <c:v>82500</c:v>
                </c:pt>
                <c:pt idx="3">
                  <c:v>135000</c:v>
                </c:pt>
                <c:pt idx="4">
                  <c:v>187500</c:v>
                </c:pt>
                <c:pt idx="5">
                  <c:v>240000</c:v>
                </c:pt>
                <c:pt idx="6">
                  <c:v>292500</c:v>
                </c:pt>
                <c:pt idx="7">
                  <c:v>345000</c:v>
                </c:pt>
                <c:pt idx="8">
                  <c:v>397500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15F-4EFC-BDF8-3C0CEFBB3180}"/>
            </c:ext>
          </c:extLst>
        </c:ser>
        <c:ser>
          <c:idx val="3"/>
          <c:order val="3"/>
          <c:tx>
            <c:strRef>
              <c:f>Process!$H$5</c:f>
              <c:strCache>
                <c:ptCount val="1"/>
                <c:pt idx="0">
                  <c:v> $300.00 </c:v>
                </c:pt>
              </c:strCache>
            </c:strRef>
          </c:tx>
          <c:spPr>
            <a:ln w="19050" cap="rnd">
              <a:solidFill>
                <a:schemeClr val="accent1">
                  <a:tint val="77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Process!$D$6:$D$14</c:f>
              <c:numCache>
                <c:formatCode>_(* #,##0_);_(* \(#,##0\);_(* "-"??_);_(@_)</c:formatCode>
                <c:ptCount val="9"/>
                <c:pt idx="0">
                  <c:v>3500</c:v>
                </c:pt>
                <c:pt idx="1">
                  <c:v>4000</c:v>
                </c:pt>
                <c:pt idx="2">
                  <c:v>4500</c:v>
                </c:pt>
                <c:pt idx="3">
                  <c:v>5000</c:v>
                </c:pt>
                <c:pt idx="4">
                  <c:v>5500</c:v>
                </c:pt>
                <c:pt idx="5">
                  <c:v>6000</c:v>
                </c:pt>
                <c:pt idx="6">
                  <c:v>6500</c:v>
                </c:pt>
                <c:pt idx="7">
                  <c:v>7000</c:v>
                </c:pt>
                <c:pt idx="8">
                  <c:v>7500</c:v>
                </c:pt>
              </c:numCache>
            </c:numRef>
          </c:xVal>
          <c:yVal>
            <c:numRef>
              <c:f>Process!$H$6:$H$14</c:f>
              <c:numCache>
                <c:formatCode>##,##0.00_);[Red]\(#,##0.00\)</c:formatCode>
                <c:ptCount val="9"/>
                <c:pt idx="0">
                  <c:v>12500</c:v>
                </c:pt>
                <c:pt idx="1">
                  <c:v>70000</c:v>
                </c:pt>
                <c:pt idx="2">
                  <c:v>127500</c:v>
                </c:pt>
                <c:pt idx="3">
                  <c:v>185000</c:v>
                </c:pt>
                <c:pt idx="4">
                  <c:v>242500</c:v>
                </c:pt>
                <c:pt idx="5">
                  <c:v>300000</c:v>
                </c:pt>
                <c:pt idx="6">
                  <c:v>357500</c:v>
                </c:pt>
                <c:pt idx="7">
                  <c:v>415000</c:v>
                </c:pt>
                <c:pt idx="8">
                  <c:v>472500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15F-4EFC-BDF8-3C0CEFBB3180}"/>
            </c:ext>
          </c:extLst>
        </c:ser>
        <c:ser>
          <c:idx val="4"/>
          <c:order val="4"/>
          <c:tx>
            <c:strRef>
              <c:f>Process!$I$5</c:f>
              <c:strCache>
                <c:ptCount val="1"/>
                <c:pt idx="0">
                  <c:v> $310.00 </c:v>
                </c:pt>
              </c:strCache>
            </c:strRef>
          </c:tx>
          <c:spPr>
            <a:ln w="19050" cap="rnd">
              <a:solidFill>
                <a:schemeClr val="accent1">
                  <a:tint val="54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Process!$D$6:$D$14</c:f>
              <c:numCache>
                <c:formatCode>_(* #,##0_);_(* \(#,##0\);_(* "-"??_);_(@_)</c:formatCode>
                <c:ptCount val="9"/>
                <c:pt idx="0">
                  <c:v>3500</c:v>
                </c:pt>
                <c:pt idx="1">
                  <c:v>4000</c:v>
                </c:pt>
                <c:pt idx="2">
                  <c:v>4500</c:v>
                </c:pt>
                <c:pt idx="3">
                  <c:v>5000</c:v>
                </c:pt>
                <c:pt idx="4">
                  <c:v>5500</c:v>
                </c:pt>
                <c:pt idx="5">
                  <c:v>6000</c:v>
                </c:pt>
                <c:pt idx="6">
                  <c:v>6500</c:v>
                </c:pt>
                <c:pt idx="7">
                  <c:v>7000</c:v>
                </c:pt>
                <c:pt idx="8">
                  <c:v>7500</c:v>
                </c:pt>
              </c:numCache>
            </c:numRef>
          </c:xVal>
          <c:yVal>
            <c:numRef>
              <c:f>Process!$I$6:$I$14</c:f>
              <c:numCache>
                <c:formatCode>##,##0.00_);[Red]\(#,##0.00\)</c:formatCode>
                <c:ptCount val="9"/>
                <c:pt idx="0">
                  <c:v>47500</c:v>
                </c:pt>
                <c:pt idx="1">
                  <c:v>110000</c:v>
                </c:pt>
                <c:pt idx="2">
                  <c:v>172500</c:v>
                </c:pt>
                <c:pt idx="3">
                  <c:v>235000</c:v>
                </c:pt>
                <c:pt idx="4">
                  <c:v>297500</c:v>
                </c:pt>
                <c:pt idx="5">
                  <c:v>360000</c:v>
                </c:pt>
                <c:pt idx="6">
                  <c:v>422500</c:v>
                </c:pt>
                <c:pt idx="7">
                  <c:v>485000</c:v>
                </c:pt>
                <c:pt idx="8">
                  <c:v>547500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15F-4EFC-BDF8-3C0CEFBB31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9949904"/>
        <c:axId val="1579950320"/>
      </c:scatterChart>
      <c:valAx>
        <c:axId val="1579949904"/>
        <c:scaling>
          <c:orientation val="minMax"/>
          <c:max val="7500"/>
          <c:min val="3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  <a:r>
                  <a:rPr lang="en-US" baseline="0"/>
                  <a:t> Contracted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9950320"/>
        <c:crossesAt val="-100000"/>
        <c:crossBetween val="midCat"/>
      </c:valAx>
      <c:valAx>
        <c:axId val="1579950320"/>
        <c:scaling>
          <c:orientation val="minMax"/>
          <c:max val="650000"/>
          <c:min val="-1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Net</a:t>
                </a:r>
                <a:r>
                  <a:rPr lang="en-US" baseline="0"/>
                  <a:t> Income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99499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[NP_EX365_2021_8a_ThilakAddagatla_2.xlsx]Scenario PivotTable!PivotTable1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'Scenario PivotTable'!$B$3</c:f>
              <c:strCache>
                <c:ptCount val="1"/>
                <c:pt idx="0">
                  <c:v>Management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'Scenario PivotTable'!$A$4:$A$6</c:f>
              <c:strCache>
                <c:ptCount val="3"/>
                <c:pt idx="0">
                  <c:v>Raise Rates</c:v>
                </c:pt>
                <c:pt idx="1">
                  <c:v>Status Quo</c:v>
                </c:pt>
                <c:pt idx="2">
                  <c:v>Third Party</c:v>
                </c:pt>
              </c:strCache>
            </c:strRef>
          </c:cat>
          <c:val>
            <c:numRef>
              <c:f>'Scenario PivotTable'!$B$4:$B$6</c:f>
              <c:numCache>
                <c:formatCode>"$"#,##0.00</c:formatCode>
                <c:ptCount val="3"/>
                <c:pt idx="0">
                  <c:v>32.833333333333336</c:v>
                </c:pt>
                <c:pt idx="1">
                  <c:v>17.333333333333332</c:v>
                </c:pt>
                <c:pt idx="2">
                  <c:v>45.333333333333336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37-4D84-B21F-D9A92BED04AD}"/>
            </c:ext>
          </c:extLst>
        </c:ser>
        <c:ser>
          <c:idx val="1"/>
          <c:order val="1"/>
          <c:tx>
            <c:strRef>
              <c:f>'Scenario PivotTable'!$C$3</c:f>
              <c:strCache>
                <c:ptCount val="1"/>
                <c:pt idx="0">
                  <c:v>Change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'Scenario PivotTable'!$A$4:$A$6</c:f>
              <c:strCache>
                <c:ptCount val="3"/>
                <c:pt idx="0">
                  <c:v>Raise Rates</c:v>
                </c:pt>
                <c:pt idx="1">
                  <c:v>Status Quo</c:v>
                </c:pt>
                <c:pt idx="2">
                  <c:v>Third Party</c:v>
                </c:pt>
              </c:strCache>
            </c:strRef>
          </c:cat>
          <c:val>
            <c:numRef>
              <c:f>'Scenario PivotTable'!$C$4:$C$6</c:f>
              <c:numCache>
                <c:formatCode>"$"#,##0.00</c:formatCode>
                <c:ptCount val="3"/>
                <c:pt idx="0">
                  <c:v>32.666666666666664</c:v>
                </c:pt>
                <c:pt idx="1">
                  <c:v>13.666666666666666</c:v>
                </c:pt>
                <c:pt idx="2">
                  <c:v>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A37-4D84-B21F-D9A92BED04AD}"/>
            </c:ext>
          </c:extLst>
        </c:ser>
        <c:ser>
          <c:idx val="2"/>
          <c:order val="2"/>
          <c:tx>
            <c:strRef>
              <c:f>'Scenario PivotTable'!$D$3</c:f>
              <c:strCache>
                <c:ptCount val="1"/>
                <c:pt idx="0">
                  <c:v>Process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'Scenario PivotTable'!$A$4:$A$6</c:f>
              <c:strCache>
                <c:ptCount val="3"/>
                <c:pt idx="0">
                  <c:v>Raise Rates</c:v>
                </c:pt>
                <c:pt idx="1">
                  <c:v>Status Quo</c:v>
                </c:pt>
                <c:pt idx="2">
                  <c:v>Third Party</c:v>
                </c:pt>
              </c:strCache>
            </c:strRef>
          </c:cat>
          <c:val>
            <c:numRef>
              <c:f>'Scenario PivotTable'!$D$4:$D$6</c:f>
              <c:numCache>
                <c:formatCode>"$"#,##0.00</c:formatCode>
                <c:ptCount val="3"/>
                <c:pt idx="0">
                  <c:v>48.590909090909093</c:v>
                </c:pt>
                <c:pt idx="1">
                  <c:v>34.090909090909093</c:v>
                </c:pt>
                <c:pt idx="2">
                  <c:v>60.909090909090907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A37-4D84-B21F-D9A92BED04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98973264"/>
        <c:axId val="1298973680"/>
      </c:barChart>
      <c:catAx>
        <c:axId val="1298973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8973680"/>
        <c:crosses val="autoZero"/>
        <c:auto val="1"/>
        <c:lblAlgn val="ctr"/>
        <c:lblOffset val="100"/>
        <c:noMultiLvlLbl val="0"/>
      </c:catAx>
      <c:valAx>
        <c:axId val="1298973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8973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1</xdr:row>
      <xdr:rowOff>30480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30E1637E-600F-4D91-947A-36F99E9015E8}"/>
            </a:ext>
          </a:extLst>
        </xdr:cNvPr>
        <xdr:cNvGrpSpPr>
          <a:grpSpLocks noChangeAspect="1"/>
        </xdr:cNvGrpSpPr>
      </xdr:nvGrpSpPr>
      <xdr:grpSpPr>
        <a:xfrm>
          <a:off x="0" y="0"/>
          <a:ext cx="7877175" cy="563880"/>
          <a:chOff x="6987540" y="0"/>
          <a:chExt cx="6377940" cy="514244"/>
        </a:xfrm>
      </xdr:grpSpPr>
      <xdr:pic>
        <xdr:nvPicPr>
          <xdr:cNvPr id="3" name="Picture 2">
            <a:extLst>
              <a:ext uri="{FF2B5EF4-FFF2-40B4-BE49-F238E27FC236}">
                <a16:creationId xmlns:a16="http://schemas.microsoft.com/office/drawing/2014/main" id="{30F78544-CE3A-4E8F-9C16-E392E820002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987540" y="0"/>
            <a:ext cx="6377940" cy="514244"/>
          </a:xfrm>
          <a:prstGeom prst="rect">
            <a:avLst/>
          </a:prstGeom>
        </xdr:spPr>
      </xdr:pic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3354659F-D676-4662-BDA9-9EEB671AF45A}"/>
              </a:ext>
            </a:extLst>
          </xdr:cNvPr>
          <xdr:cNvSpPr/>
        </xdr:nvSpPr>
        <xdr:spPr>
          <a:xfrm>
            <a:off x="7048500" y="0"/>
            <a:ext cx="5280660" cy="46482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lvl="0" algn="l"/>
            <a:r>
              <a:rPr lang="en-US" sz="1000" b="0">
                <a:latin typeface="Century Gothic" panose="020B0502020202020204" pitchFamily="34" charset="0"/>
              </a:rPr>
              <a:t>New Perspectives Excel 365/2021 | Module 8: SAM Project 1a</a:t>
            </a:r>
            <a:endParaRPr lang="en-US" sz="1000">
              <a:latin typeface="Century Gothic" panose="020B0502020202020204" pitchFamily="34" charset="0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14</xdr:row>
      <xdr:rowOff>61911</xdr:rowOff>
    </xdr:from>
    <xdr:to>
      <xdr:col>7</xdr:col>
      <xdr:colOff>1057275</xdr:colOff>
      <xdr:row>31</xdr:row>
      <xdr:rowOff>161924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594A3AD-D35B-462B-A960-A9353847CB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</xdr:colOff>
      <xdr:row>14</xdr:row>
      <xdr:rowOff>52386</xdr:rowOff>
    </xdr:from>
    <xdr:to>
      <xdr:col>8</xdr:col>
      <xdr:colOff>1076324</xdr:colOff>
      <xdr:row>31</xdr:row>
      <xdr:rowOff>133349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B52FAE-EC94-4A24-B5B7-CC67715704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33337</xdr:rowOff>
    </xdr:from>
    <xdr:to>
      <xdr:col>3</xdr:col>
      <xdr:colOff>990600</xdr:colOff>
      <xdr:row>19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6AE73D-10FC-4732-BECD-C6E481CC1E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Thilak Addagatla" refreshedDate="44856.467777199075" createdVersion="7" refreshedVersion="7" minRefreshableVersion="3" recordCount="3" xr:uid="{03FC6FD7-D062-49A1-A7B2-A5BAF00BFD36}">
  <cacheSource type="scenario"/>
  <cacheFields count="5">
    <cacheField name="$B$6:$D$6,$B$11:$D$11,$B$13:$D$13" numFmtId="0">
      <sharedItems containsNonDate="0" count="3">
        <s v="Status Quo"/>
        <s v="Raise Rates"/>
        <s v="Third Party"/>
      </sharedItems>
    </cacheField>
    <cacheField name="$B$6:$D$6,$B$11:$D$11,$B$13:$D" numFmtId="0">
      <sharedItems containsNonDate="0" count="1">
        <s v="sasha"/>
      </sharedItems>
    </cacheField>
    <cacheField name="res $B$17" numFmtId="0">
      <sharedItems containsSemiMixedTypes="0" containsNonDate="0" containsString="0" containsNumber="1" minValue="17.333333333333332" maxValue="45.333333333333336" count="3">
        <n v="17.333333333333332"/>
        <n v="32.833333333333336"/>
        <n v="45.333333333333336"/>
      </sharedItems>
    </cacheField>
    <cacheField name="res $C$17" numFmtId="0">
      <sharedItems containsSemiMixedTypes="0" containsNonDate="0" containsString="0" containsNumber="1" minValue="13.666666666666666" maxValue="76" count="3">
        <n v="13.666666666666666"/>
        <n v="32.666666666666664"/>
        <n v="76"/>
      </sharedItems>
    </cacheField>
    <cacheField name="res $D$17" numFmtId="0">
      <sharedItems containsSemiMixedTypes="0" containsNonDate="0" containsString="0" containsNumber="1" minValue="34.090909090909093" maxValue="60.909090909090907" count="3">
        <n v="34.090909090909093"/>
        <n v="48.590909090909093"/>
        <n v="60.909090909090907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701DA36-975E-4C97-A91B-C780B53DE32E}" name="PivotTable1" cacheId="2" applyNumberFormats="0" applyBorderFormats="0" applyFontFormats="0" applyPatternFormats="0" applyAlignmentFormats="0" applyWidthHeightFormats="1" dataCaption="Result Cells" updatedVersion="7" minRefreshableVersion="3" useAutoFormatting="1" rowGrandTotals="0" colGrandTotals="0" itemPrintTitles="1" createdVersion="7" indent="0" outline="1" outlineData="1" multipleFieldFilters="0" chartFormat="1" fieldListSortAscending="1">
  <location ref="A3:D6" firstHeaderRow="0" firstDataRow="1" firstDataCol="1"/>
  <pivotFields count="5">
    <pivotField axis="axisRow" showAll="0" defaultSubtotal="0">
      <items count="3">
        <item x="1"/>
        <item x="0"/>
        <item x="2"/>
      </items>
    </pivotField>
    <pivotField showAll="0">
      <items count="2">
        <item x="0"/>
        <item t="default"/>
      </items>
    </pivotField>
    <pivotField dataField="1" showAll="0"/>
    <pivotField dataField="1" showAll="0"/>
    <pivotField dataField="1" showAll="0"/>
  </pivotFields>
  <rowFields count="1">
    <field x="0"/>
  </rowFields>
  <rowItems count="3">
    <i>
      <x/>
    </i>
    <i>
      <x v="1"/>
    </i>
    <i>
      <x v="2"/>
    </i>
  </rowItems>
  <colFields count="1">
    <field x="-2"/>
  </colFields>
  <colItems count="3">
    <i>
      <x/>
    </i>
    <i i="1">
      <x v="1"/>
    </i>
    <i i="2">
      <x v="2"/>
    </i>
  </colItems>
  <dataFields count="3">
    <dataField name="Management" fld="2" baseField="0" baseItem="0" numFmtId="172"/>
    <dataField name="Change" fld="3" baseField="0" baseItem="0" numFmtId="172"/>
    <dataField name="Process" fld="4" baseField="0" baseItem="0" numFmtId="172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22BEE-730E-4307-8856-7952307237E8}">
  <dimension ref="A1:C11"/>
  <sheetViews>
    <sheetView showGridLines="0" zoomScaleNormal="100" workbookViewId="0">
      <selection activeCell="E1" sqref="E1"/>
    </sheetView>
  </sheetViews>
  <sheetFormatPr defaultColWidth="8.85546875" defaultRowHeight="12.75" x14ac:dyDescent="0.2"/>
  <cols>
    <col min="1" max="1" width="8.7109375" style="63" customWidth="1"/>
    <col min="2" max="2" width="105.7109375" style="63" customWidth="1"/>
    <col min="3" max="3" width="3.7109375" style="63" customWidth="1"/>
    <col min="4" max="16384" width="8.85546875" style="63"/>
  </cols>
  <sheetData>
    <row r="1" spans="1:3" ht="42" customHeight="1" x14ac:dyDescent="0.2">
      <c r="A1" s="88"/>
      <c r="B1" s="88"/>
      <c r="C1" s="89"/>
    </row>
    <row r="2" spans="1:3" ht="5.0999999999999996" customHeight="1" x14ac:dyDescent="0.25">
      <c r="A2" s="64"/>
      <c r="B2" s="65"/>
      <c r="C2" s="1"/>
    </row>
    <row r="3" spans="1:3" s="67" customFormat="1" ht="34.5" x14ac:dyDescent="0.25">
      <c r="A3" s="66"/>
      <c r="B3" s="5" t="s">
        <v>41</v>
      </c>
      <c r="C3" s="2"/>
    </row>
    <row r="4" spans="1:3" ht="16.5" x14ac:dyDescent="0.25">
      <c r="A4" s="66"/>
      <c r="B4" s="4" t="s">
        <v>45</v>
      </c>
      <c r="C4" s="1"/>
    </row>
    <row r="5" spans="1:3" ht="15.75" customHeight="1" x14ac:dyDescent="0.25">
      <c r="A5" s="66"/>
      <c r="B5" s="66"/>
      <c r="C5" s="1"/>
    </row>
    <row r="6" spans="1:3" ht="13.5" x14ac:dyDescent="0.25">
      <c r="A6" s="68" t="s">
        <v>2</v>
      </c>
      <c r="B6" s="3" t="s">
        <v>1</v>
      </c>
      <c r="C6" s="1"/>
    </row>
    <row r="7" spans="1:3" ht="13.5" x14ac:dyDescent="0.25">
      <c r="A7" s="66"/>
      <c r="B7" s="66"/>
      <c r="C7" s="1"/>
    </row>
    <row r="8" spans="1:3" x14ac:dyDescent="0.2">
      <c r="A8" s="90" t="s">
        <v>0</v>
      </c>
      <c r="B8" s="90"/>
      <c r="C8" s="91"/>
    </row>
    <row r="9" spans="1:3" x14ac:dyDescent="0.2">
      <c r="A9" s="90"/>
      <c r="B9" s="90"/>
      <c r="C9" s="91"/>
    </row>
    <row r="10" spans="1:3" ht="13.5" thickBot="1" x14ac:dyDescent="0.25">
      <c r="A10" s="92"/>
      <c r="B10" s="92"/>
      <c r="C10" s="93"/>
    </row>
    <row r="11" spans="1:3" ht="13.5" thickTop="1" x14ac:dyDescent="0.2"/>
  </sheetData>
  <mergeCells count="2">
    <mergeCell ref="A1:C1"/>
    <mergeCell ref="A8:C10"/>
  </mergeCells>
  <dataValidations count="2">
    <dataValidation allowBlank="1" showInputMessage="1" showErrorMessage="1" error="                                                                " sqref="J3" xr:uid="{B1F4EA31-9721-4428-8D2A-A8CBBC2A36B8}"/>
    <dataValidation allowBlank="1" error="pavI8MeUFtEyxX2I4tkyf367137c-7ff0-4578-8762-2ed120830667" sqref="A1:C2 A3:C3 A4:C11" xr:uid="{00000000-0002-0000-0000-000001000000}"/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8A886-FBB9-41C3-9FF3-9155FAABB23E}">
  <dimension ref="A1:K27"/>
  <sheetViews>
    <sheetView topLeftCell="A10" workbookViewId="0">
      <selection activeCell="D14" sqref="D14"/>
    </sheetView>
  </sheetViews>
  <sheetFormatPr defaultRowHeight="15" x14ac:dyDescent="0.25"/>
  <cols>
    <col min="1" max="1" width="33.5703125" bestFit="1" customWidth="1"/>
    <col min="2" max="2" width="15.140625" customWidth="1"/>
    <col min="4" max="11" width="16.7109375" customWidth="1"/>
  </cols>
  <sheetData>
    <row r="1" spans="1:11" ht="23.25" x14ac:dyDescent="0.35">
      <c r="A1" s="97" t="s">
        <v>15</v>
      </c>
      <c r="B1" s="97"/>
      <c r="C1" s="97"/>
      <c r="D1" s="97"/>
      <c r="E1" s="97"/>
      <c r="F1" s="97"/>
      <c r="G1" s="97"/>
    </row>
    <row r="3" spans="1:11" ht="15.75" thickBot="1" x14ac:dyDescent="0.3">
      <c r="A3" s="7" t="s">
        <v>3</v>
      </c>
      <c r="B3" s="7"/>
      <c r="D3" s="94" t="s">
        <v>18</v>
      </c>
      <c r="E3" s="95"/>
      <c r="F3" s="95"/>
      <c r="G3" s="96"/>
    </row>
    <row r="4" spans="1:11" x14ac:dyDescent="0.25">
      <c r="A4" s="6" t="s">
        <v>43</v>
      </c>
      <c r="B4" s="26">
        <v>7500</v>
      </c>
      <c r="D4" s="15" t="s">
        <v>16</v>
      </c>
      <c r="E4" s="16" t="s">
        <v>4</v>
      </c>
      <c r="F4" s="16" t="s">
        <v>12</v>
      </c>
      <c r="G4" s="17" t="s">
        <v>13</v>
      </c>
    </row>
    <row r="5" spans="1:11" x14ac:dyDescent="0.25">
      <c r="A5" s="8" t="s">
        <v>46</v>
      </c>
      <c r="B5" s="11">
        <v>310</v>
      </c>
      <c r="D5" s="33">
        <f>B4</f>
        <v>7500</v>
      </c>
      <c r="E5" s="18">
        <f>B19</f>
        <v>2325000</v>
      </c>
      <c r="F5" s="18">
        <f>B20</f>
        <v>2195000</v>
      </c>
      <c r="G5" s="19">
        <f>B21</f>
        <v>130000</v>
      </c>
    </row>
    <row r="6" spans="1:11" x14ac:dyDescent="0.25">
      <c r="A6" s="6" t="s">
        <v>4</v>
      </c>
      <c r="B6" s="12">
        <f>B4*B5</f>
        <v>2325000</v>
      </c>
      <c r="D6" s="34">
        <v>6500</v>
      </c>
      <c r="E6" s="20">
        <f t="dataTable" ref="E6:G10" dt2D="0" dtr="0" r1="B4" ca="1"/>
        <v>2015000</v>
      </c>
      <c r="F6" s="20">
        <v>2005000</v>
      </c>
      <c r="G6" s="21">
        <v>10000</v>
      </c>
    </row>
    <row r="7" spans="1:11" x14ac:dyDescent="0.25">
      <c r="D7" s="35">
        <v>7000</v>
      </c>
      <c r="E7" s="22">
        <v>2170000</v>
      </c>
      <c r="F7" s="22">
        <v>2100000</v>
      </c>
      <c r="G7" s="23">
        <v>70000</v>
      </c>
    </row>
    <row r="8" spans="1:11" ht="15.75" thickBot="1" x14ac:dyDescent="0.3">
      <c r="A8" s="7" t="s">
        <v>5</v>
      </c>
      <c r="B8" s="7"/>
      <c r="D8" s="35">
        <v>7500</v>
      </c>
      <c r="E8" s="22">
        <v>2325000</v>
      </c>
      <c r="F8" s="22">
        <v>2195000</v>
      </c>
      <c r="G8" s="23">
        <v>130000</v>
      </c>
    </row>
    <row r="9" spans="1:11" x14ac:dyDescent="0.25">
      <c r="A9" t="s">
        <v>6</v>
      </c>
      <c r="D9" s="35">
        <v>8000</v>
      </c>
      <c r="E9" s="22">
        <v>2480000</v>
      </c>
      <c r="F9" s="22">
        <v>2290000</v>
      </c>
      <c r="G9" s="23">
        <v>190000</v>
      </c>
    </row>
    <row r="10" spans="1:11" x14ac:dyDescent="0.25">
      <c r="A10" s="6" t="s">
        <v>16</v>
      </c>
      <c r="B10" s="26">
        <f>B4</f>
        <v>7500</v>
      </c>
      <c r="D10" s="33">
        <v>8500</v>
      </c>
      <c r="E10" s="18">
        <v>2635000</v>
      </c>
      <c r="F10" s="18">
        <v>2385000</v>
      </c>
      <c r="G10" s="19">
        <v>250000</v>
      </c>
    </row>
    <row r="11" spans="1:11" x14ac:dyDescent="0.25">
      <c r="A11" s="6" t="s">
        <v>47</v>
      </c>
      <c r="B11" s="12">
        <v>190</v>
      </c>
    </row>
    <row r="12" spans="1:11" x14ac:dyDescent="0.25">
      <c r="A12" s="6" t="s">
        <v>7</v>
      </c>
      <c r="B12" s="12">
        <f>B10*B11</f>
        <v>1425000</v>
      </c>
    </row>
    <row r="13" spans="1:11" x14ac:dyDescent="0.25">
      <c r="A13" t="s">
        <v>8</v>
      </c>
      <c r="D13" s="94" t="s">
        <v>19</v>
      </c>
      <c r="E13" s="95"/>
      <c r="F13" s="95"/>
      <c r="G13" s="95"/>
      <c r="H13" s="95"/>
      <c r="I13" s="95"/>
      <c r="J13" s="95"/>
      <c r="K13" s="96"/>
    </row>
    <row r="14" spans="1:11" x14ac:dyDescent="0.25">
      <c r="A14" s="8" t="s">
        <v>9</v>
      </c>
      <c r="B14" s="11">
        <v>770000</v>
      </c>
      <c r="D14" s="69">
        <f>B21</f>
        <v>130000</v>
      </c>
      <c r="E14" s="24">
        <v>280</v>
      </c>
      <c r="F14" s="24">
        <v>290</v>
      </c>
      <c r="G14" s="24">
        <v>300</v>
      </c>
      <c r="H14" s="24">
        <v>310</v>
      </c>
      <c r="I14" s="24">
        <v>320</v>
      </c>
      <c r="J14" s="24">
        <v>330</v>
      </c>
      <c r="K14" s="25">
        <v>340</v>
      </c>
    </row>
    <row r="15" spans="1:11" x14ac:dyDescent="0.25">
      <c r="A15" t="s">
        <v>10</v>
      </c>
      <c r="B15" s="12">
        <f>B12+B14</f>
        <v>2195000</v>
      </c>
      <c r="D15" s="34">
        <v>6500</v>
      </c>
      <c r="E15" s="27">
        <f t="dataTable" ref="E15:K19" dt2D="1" dtr="1" r1="B5" r2="B4"/>
        <v>-185000</v>
      </c>
      <c r="F15" s="27">
        <v>-120000</v>
      </c>
      <c r="G15" s="27">
        <v>-55000</v>
      </c>
      <c r="H15" s="27">
        <v>10000</v>
      </c>
      <c r="I15" s="27">
        <v>75000</v>
      </c>
      <c r="J15" s="27">
        <v>140000</v>
      </c>
      <c r="K15" s="30">
        <v>205000</v>
      </c>
    </row>
    <row r="16" spans="1:11" x14ac:dyDescent="0.25">
      <c r="A16" s="6" t="s">
        <v>17</v>
      </c>
      <c r="B16" s="12">
        <f>B15/B10</f>
        <v>292.66666666666669</v>
      </c>
      <c r="D16" s="35">
        <v>7000</v>
      </c>
      <c r="E16" s="28">
        <v>-140000</v>
      </c>
      <c r="F16" s="28">
        <v>-70000</v>
      </c>
      <c r="G16" s="28">
        <v>0</v>
      </c>
      <c r="H16" s="28">
        <v>70000</v>
      </c>
      <c r="I16" s="28">
        <v>140000</v>
      </c>
      <c r="J16" s="28">
        <v>210000</v>
      </c>
      <c r="K16" s="31">
        <v>280000</v>
      </c>
    </row>
    <row r="17" spans="1:11" x14ac:dyDescent="0.25">
      <c r="D17" s="35">
        <v>7500</v>
      </c>
      <c r="E17" s="28">
        <v>-95000</v>
      </c>
      <c r="F17" s="28">
        <v>-20000</v>
      </c>
      <c r="G17" s="28">
        <v>55000</v>
      </c>
      <c r="H17" s="28">
        <v>130000</v>
      </c>
      <c r="I17" s="28">
        <v>205000</v>
      </c>
      <c r="J17" s="28">
        <v>280000</v>
      </c>
      <c r="K17" s="31">
        <v>355000</v>
      </c>
    </row>
    <row r="18" spans="1:11" ht="15.75" thickBot="1" x14ac:dyDescent="0.3">
      <c r="A18" s="7" t="s">
        <v>11</v>
      </c>
      <c r="B18" s="7"/>
      <c r="D18" s="35">
        <v>8000</v>
      </c>
      <c r="E18" s="28">
        <v>-50000</v>
      </c>
      <c r="F18" s="28">
        <v>30000</v>
      </c>
      <c r="G18" s="28">
        <v>110000</v>
      </c>
      <c r="H18" s="28">
        <v>190000</v>
      </c>
      <c r="I18" s="28">
        <v>270000</v>
      </c>
      <c r="J18" s="28">
        <v>350000</v>
      </c>
      <c r="K18" s="31">
        <v>430000</v>
      </c>
    </row>
    <row r="19" spans="1:11" x14ac:dyDescent="0.25">
      <c r="A19" s="6" t="s">
        <v>4</v>
      </c>
      <c r="B19" s="12">
        <f>B6</f>
        <v>2325000</v>
      </c>
      <c r="D19" s="33">
        <v>8500</v>
      </c>
      <c r="E19" s="29">
        <v>-5000</v>
      </c>
      <c r="F19" s="29">
        <v>80000</v>
      </c>
      <c r="G19" s="29">
        <v>165000</v>
      </c>
      <c r="H19" s="29">
        <v>250000</v>
      </c>
      <c r="I19" s="29">
        <v>335000</v>
      </c>
      <c r="J19" s="29">
        <v>420000</v>
      </c>
      <c r="K19" s="32">
        <v>505000</v>
      </c>
    </row>
    <row r="20" spans="1:11" x14ac:dyDescent="0.25">
      <c r="A20" s="6" t="s">
        <v>12</v>
      </c>
      <c r="B20" s="12">
        <f>B15</f>
        <v>2195000</v>
      </c>
    </row>
    <row r="21" spans="1:11" ht="15.75" thickBot="1" x14ac:dyDescent="0.3">
      <c r="A21" s="10" t="s">
        <v>13</v>
      </c>
      <c r="B21" s="13">
        <f>B19-B20</f>
        <v>130000</v>
      </c>
    </row>
    <row r="22" spans="1:11" ht="15.75" thickTop="1" x14ac:dyDescent="0.25"/>
    <row r="23" spans="1:11" ht="15.75" thickBot="1" x14ac:dyDescent="0.3">
      <c r="A23" s="7" t="s">
        <v>44</v>
      </c>
      <c r="B23" s="7"/>
    </row>
    <row r="24" spans="1:11" x14ac:dyDescent="0.25">
      <c r="A24" s="6" t="s">
        <v>46</v>
      </c>
      <c r="B24" s="12">
        <f>B5</f>
        <v>310</v>
      </c>
    </row>
    <row r="25" spans="1:11" x14ac:dyDescent="0.25">
      <c r="A25" s="6" t="s">
        <v>48</v>
      </c>
      <c r="B25" s="12">
        <f>B16</f>
        <v>292.66666666666669</v>
      </c>
    </row>
    <row r="26" spans="1:11" x14ac:dyDescent="0.25">
      <c r="A26" s="6" t="s">
        <v>16</v>
      </c>
      <c r="B26" s="26">
        <f>Hours_Contracted_Management</f>
        <v>7500</v>
      </c>
    </row>
    <row r="27" spans="1:11" x14ac:dyDescent="0.25">
      <c r="A27" s="6" t="s">
        <v>13</v>
      </c>
      <c r="B27" s="12">
        <f>(B24*B26)-(B25*B26)</f>
        <v>130000</v>
      </c>
    </row>
  </sheetData>
  <mergeCells count="3">
    <mergeCell ref="D3:G3"/>
    <mergeCell ref="D13:K13"/>
    <mergeCell ref="A1:G1"/>
  </mergeCells>
  <dataValidations count="1">
    <dataValidation allowBlank="1" error="pavI8MeUFtEyxX2I4tkyf367137c-7ff0-4578-8762-2ed120830667" sqref="A1:K27" xr:uid="{00000000-0002-0000-0100-000000000000}"/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BBCA1-B148-4B0F-B8BB-56C86FDCAC83}">
  <dimension ref="A1:G27"/>
  <sheetViews>
    <sheetView topLeftCell="A22" workbookViewId="0">
      <selection activeCell="I23" sqref="I23"/>
    </sheetView>
  </sheetViews>
  <sheetFormatPr defaultRowHeight="15" x14ac:dyDescent="0.25"/>
  <cols>
    <col min="1" max="1" width="33.5703125" bestFit="1" customWidth="1"/>
    <col min="2" max="2" width="15.140625" customWidth="1"/>
    <col min="4" max="11" width="16.7109375" customWidth="1"/>
  </cols>
  <sheetData>
    <row r="1" spans="1:7" ht="23.25" x14ac:dyDescent="0.35">
      <c r="A1" s="97" t="s">
        <v>21</v>
      </c>
      <c r="B1" s="97"/>
      <c r="C1" s="97"/>
      <c r="D1" s="97"/>
      <c r="E1" s="97"/>
      <c r="F1" s="97"/>
      <c r="G1" s="97"/>
    </row>
    <row r="3" spans="1:7" ht="15.75" thickBot="1" x14ac:dyDescent="0.3">
      <c r="A3" s="7" t="s">
        <v>3</v>
      </c>
      <c r="B3" s="7"/>
      <c r="D3" s="94" t="s">
        <v>22</v>
      </c>
      <c r="E3" s="95"/>
      <c r="F3" s="95"/>
      <c r="G3" s="96"/>
    </row>
    <row r="4" spans="1:7" x14ac:dyDescent="0.25">
      <c r="A4" s="6" t="s">
        <v>43</v>
      </c>
      <c r="B4" s="26">
        <v>3750</v>
      </c>
      <c r="D4" s="40" t="s">
        <v>16</v>
      </c>
      <c r="E4" s="41" t="s">
        <v>4</v>
      </c>
      <c r="F4" s="41" t="s">
        <v>12</v>
      </c>
      <c r="G4" s="42" t="s">
        <v>13</v>
      </c>
    </row>
    <row r="5" spans="1:7" x14ac:dyDescent="0.25">
      <c r="A5" s="8" t="s">
        <v>46</v>
      </c>
      <c r="B5" s="11">
        <v>380</v>
      </c>
      <c r="D5" s="33">
        <v>3750</v>
      </c>
      <c r="E5" s="43">
        <f>B19</f>
        <v>1425000</v>
      </c>
      <c r="F5" s="43">
        <f>B20</f>
        <v>1373750</v>
      </c>
      <c r="G5" s="44">
        <f>B21</f>
        <v>51250</v>
      </c>
    </row>
    <row r="6" spans="1:7" x14ac:dyDescent="0.25">
      <c r="A6" s="6" t="s">
        <v>4</v>
      </c>
      <c r="B6" s="12">
        <f>B4*B5</f>
        <v>1425000</v>
      </c>
      <c r="D6" s="34">
        <v>3000</v>
      </c>
      <c r="E6" s="45">
        <f t="dataTable" ref="E6:G14" dt2D="0" dtr="0" r1="B4"/>
        <v>1140000</v>
      </c>
      <c r="F6" s="45">
        <v>1175000</v>
      </c>
      <c r="G6" s="46">
        <v>-35000</v>
      </c>
    </row>
    <row r="7" spans="1:7" x14ac:dyDescent="0.25">
      <c r="D7" s="35">
        <v>3250</v>
      </c>
      <c r="E7" s="39">
        <v>1235000</v>
      </c>
      <c r="F7" s="39">
        <v>1241250</v>
      </c>
      <c r="G7" s="47">
        <v>-6250</v>
      </c>
    </row>
    <row r="8" spans="1:7" ht="15.75" thickBot="1" x14ac:dyDescent="0.3">
      <c r="A8" s="7" t="s">
        <v>5</v>
      </c>
      <c r="B8" s="7"/>
      <c r="D8" s="35">
        <v>3500</v>
      </c>
      <c r="E8" s="39">
        <v>1330000</v>
      </c>
      <c r="F8" s="39">
        <v>1307500</v>
      </c>
      <c r="G8" s="47">
        <v>22500</v>
      </c>
    </row>
    <row r="9" spans="1:7" x14ac:dyDescent="0.25">
      <c r="A9" t="s">
        <v>6</v>
      </c>
      <c r="D9" s="35">
        <v>3750</v>
      </c>
      <c r="E9" s="39">
        <v>1425000</v>
      </c>
      <c r="F9" s="39">
        <v>1373750</v>
      </c>
      <c r="G9" s="47">
        <v>51250</v>
      </c>
    </row>
    <row r="10" spans="1:7" x14ac:dyDescent="0.25">
      <c r="A10" s="6" t="s">
        <v>16</v>
      </c>
      <c r="B10" s="26">
        <f>B4</f>
        <v>3750</v>
      </c>
      <c r="D10" s="35">
        <v>4000</v>
      </c>
      <c r="E10" s="39">
        <v>1520000</v>
      </c>
      <c r="F10" s="39">
        <v>1440000</v>
      </c>
      <c r="G10" s="47">
        <v>80000</v>
      </c>
    </row>
    <row r="11" spans="1:7" x14ac:dyDescent="0.25">
      <c r="A11" s="6" t="s">
        <v>47</v>
      </c>
      <c r="B11" s="12">
        <v>265</v>
      </c>
      <c r="D11" s="35">
        <v>4250</v>
      </c>
      <c r="E11" s="39">
        <v>1615000</v>
      </c>
      <c r="F11" s="39">
        <v>1506250</v>
      </c>
      <c r="G11" s="47">
        <v>108750</v>
      </c>
    </row>
    <row r="12" spans="1:7" x14ac:dyDescent="0.25">
      <c r="A12" s="6" t="s">
        <v>7</v>
      </c>
      <c r="B12" s="12">
        <f>B10*B11</f>
        <v>993750</v>
      </c>
      <c r="D12" s="35">
        <v>4500</v>
      </c>
      <c r="E12" s="39">
        <v>1710000</v>
      </c>
      <c r="F12" s="39">
        <v>1572500</v>
      </c>
      <c r="G12" s="47">
        <v>137500</v>
      </c>
    </row>
    <row r="13" spans="1:7" x14ac:dyDescent="0.25">
      <c r="A13" t="s">
        <v>8</v>
      </c>
      <c r="D13" s="35">
        <v>4750</v>
      </c>
      <c r="E13" s="39">
        <v>1805000</v>
      </c>
      <c r="F13" s="39">
        <v>1638750</v>
      </c>
      <c r="G13" s="47">
        <v>166250</v>
      </c>
    </row>
    <row r="14" spans="1:7" x14ac:dyDescent="0.25">
      <c r="A14" s="8" t="s">
        <v>9</v>
      </c>
      <c r="B14" s="11">
        <v>380000</v>
      </c>
      <c r="D14" s="33">
        <v>5000</v>
      </c>
      <c r="E14" s="43">
        <v>1900000</v>
      </c>
      <c r="F14" s="43">
        <v>1705000</v>
      </c>
      <c r="G14" s="44">
        <v>195000</v>
      </c>
    </row>
    <row r="15" spans="1:7" x14ac:dyDescent="0.25">
      <c r="A15" t="s">
        <v>10</v>
      </c>
      <c r="B15" s="12">
        <f>B12+B14</f>
        <v>1373750</v>
      </c>
    </row>
    <row r="16" spans="1:7" x14ac:dyDescent="0.25">
      <c r="A16" s="6" t="s">
        <v>17</v>
      </c>
      <c r="B16" s="12">
        <f>B15/B10</f>
        <v>366.33333333333331</v>
      </c>
    </row>
    <row r="18" spans="1:2" ht="15.75" thickBot="1" x14ac:dyDescent="0.3">
      <c r="A18" s="7" t="s">
        <v>11</v>
      </c>
      <c r="B18" s="7"/>
    </row>
    <row r="19" spans="1:2" x14ac:dyDescent="0.25">
      <c r="A19" s="6" t="s">
        <v>4</v>
      </c>
      <c r="B19" s="12">
        <f>B6</f>
        <v>1425000</v>
      </c>
    </row>
    <row r="20" spans="1:2" x14ac:dyDescent="0.25">
      <c r="A20" s="6" t="s">
        <v>12</v>
      </c>
      <c r="B20" s="12">
        <f>B15</f>
        <v>1373750</v>
      </c>
    </row>
    <row r="21" spans="1:2" ht="15.75" thickBot="1" x14ac:dyDescent="0.3">
      <c r="A21" s="10" t="s">
        <v>13</v>
      </c>
      <c r="B21" s="13">
        <f>B19-B20</f>
        <v>51250</v>
      </c>
    </row>
    <row r="22" spans="1:2" ht="15.75" thickTop="1" x14ac:dyDescent="0.25"/>
    <row r="23" spans="1:2" ht="15.75" thickBot="1" x14ac:dyDescent="0.3">
      <c r="A23" s="7" t="s">
        <v>44</v>
      </c>
      <c r="B23" s="7"/>
    </row>
    <row r="24" spans="1:2" x14ac:dyDescent="0.25">
      <c r="A24" s="6" t="s">
        <v>46</v>
      </c>
      <c r="B24" s="12">
        <f>B5</f>
        <v>380</v>
      </c>
    </row>
    <row r="25" spans="1:2" x14ac:dyDescent="0.25">
      <c r="A25" s="6" t="s">
        <v>48</v>
      </c>
      <c r="B25" s="12">
        <f>(B14+(B26*B11))/B26</f>
        <v>366.33333333333331</v>
      </c>
    </row>
    <row r="26" spans="1:2" x14ac:dyDescent="0.25">
      <c r="A26" s="6" t="s">
        <v>16</v>
      </c>
      <c r="B26" s="26">
        <v>3750</v>
      </c>
    </row>
    <row r="27" spans="1:2" x14ac:dyDescent="0.25">
      <c r="A27" s="6" t="s">
        <v>13</v>
      </c>
      <c r="B27" s="12">
        <f>(B24*B26)-(B25*B26)</f>
        <v>51250</v>
      </c>
    </row>
  </sheetData>
  <scenarios current="0">
    <scenario name="Standard" locked="1" count="2" user="Thilak Addagatla" comment="Created by Thilak Addagatla on 10/22/2022">
      <inputCells r="B11" val="380" numFmtId="165"/>
      <inputCells r="B14" val="380000" numFmtId="165"/>
    </scenario>
    <scenario name="Certified" locked="1" count="2" user="Thilak Addagatla" comment="Created by Thilak Addagatla on 10/22/2022">
      <inputCells r="B11" val="420" numFmtId="165"/>
      <inputCells r="B14" val="335000" numFmtId="165"/>
    </scenario>
  </scenarios>
  <mergeCells count="2">
    <mergeCell ref="A1:G1"/>
    <mergeCell ref="D3:G3"/>
  </mergeCells>
  <dataValidations count="1">
    <dataValidation allowBlank="1" error="pavI8MeUFtEyxX2I4tkyf367137c-7ff0-4578-8762-2ed120830667" sqref="A1:G27" xr:uid="{00000000-0002-0000-0200-000000000000}"/>
  </dataValidations>
  <pageMargins left="0.7" right="0.7" top="0.75" bottom="0.75" header="0.3" footer="0.3"/>
  <pageSetup paperSize="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48A1B-0A84-41AF-AA95-92B7055ADECB}">
  <dimension ref="A1:I27"/>
  <sheetViews>
    <sheetView tabSelected="1" topLeftCell="D16" workbookViewId="0">
      <selection activeCell="J28" sqref="J28"/>
    </sheetView>
  </sheetViews>
  <sheetFormatPr defaultRowHeight="15" x14ac:dyDescent="0.25"/>
  <cols>
    <col min="1" max="1" width="33.5703125" bestFit="1" customWidth="1"/>
    <col min="2" max="2" width="15.140625" customWidth="1"/>
    <col min="4" max="13" width="16.7109375" customWidth="1"/>
  </cols>
  <sheetData>
    <row r="1" spans="1:9" ht="23.25" x14ac:dyDescent="0.35">
      <c r="A1" s="97" t="s">
        <v>23</v>
      </c>
      <c r="B1" s="97"/>
      <c r="C1" s="97"/>
      <c r="D1" s="97"/>
      <c r="E1" s="97"/>
      <c r="F1" s="97"/>
      <c r="G1" s="97"/>
      <c r="H1" s="97"/>
      <c r="I1" s="97"/>
    </row>
    <row r="3" spans="1:9" ht="15.75" thickBot="1" x14ac:dyDescent="0.3">
      <c r="A3" s="7" t="s">
        <v>3</v>
      </c>
      <c r="B3" s="7"/>
      <c r="D3" s="94" t="s">
        <v>24</v>
      </c>
      <c r="E3" s="95"/>
      <c r="F3" s="95"/>
      <c r="G3" s="95"/>
      <c r="H3" s="95"/>
      <c r="I3" s="96"/>
    </row>
    <row r="4" spans="1:9" x14ac:dyDescent="0.25">
      <c r="A4" s="6" t="s">
        <v>43</v>
      </c>
      <c r="B4" s="26">
        <v>5500</v>
      </c>
      <c r="D4" s="98" t="s">
        <v>49</v>
      </c>
      <c r="E4" s="99"/>
      <c r="F4" s="99"/>
      <c r="G4" s="99"/>
      <c r="H4" s="99"/>
      <c r="I4" s="100"/>
    </row>
    <row r="5" spans="1:9" x14ac:dyDescent="0.25">
      <c r="A5" s="8" t="s">
        <v>46</v>
      </c>
      <c r="B5" s="11">
        <v>290</v>
      </c>
      <c r="D5" s="62">
        <f>B21</f>
        <v>187500</v>
      </c>
      <c r="E5" s="24">
        <v>270</v>
      </c>
      <c r="F5" s="24">
        <v>280</v>
      </c>
      <c r="G5" s="24">
        <v>290</v>
      </c>
      <c r="H5" s="24">
        <v>300</v>
      </c>
      <c r="I5" s="25">
        <v>310</v>
      </c>
    </row>
    <row r="6" spans="1:9" x14ac:dyDescent="0.25">
      <c r="A6" s="6" t="s">
        <v>4</v>
      </c>
      <c r="B6" s="12">
        <f>B4*B5</f>
        <v>1595000</v>
      </c>
      <c r="D6" s="34">
        <v>3500</v>
      </c>
      <c r="E6" s="37">
        <f t="dataTable" ref="E6:I14" dt2D="1" dtr="1" r1="B5" r2="B4"/>
        <v>-92500</v>
      </c>
      <c r="F6" s="37">
        <v>-57500</v>
      </c>
      <c r="G6" s="37">
        <v>-22500</v>
      </c>
      <c r="H6" s="37">
        <v>12500</v>
      </c>
      <c r="I6" s="38">
        <v>47500</v>
      </c>
    </row>
    <row r="7" spans="1:9" x14ac:dyDescent="0.25">
      <c r="D7" s="35">
        <v>4000</v>
      </c>
      <c r="E7" s="28">
        <v>-50000</v>
      </c>
      <c r="F7" s="28">
        <v>-10000</v>
      </c>
      <c r="G7" s="28">
        <v>30000</v>
      </c>
      <c r="H7" s="28">
        <v>70000</v>
      </c>
      <c r="I7" s="31">
        <v>110000</v>
      </c>
    </row>
    <row r="8" spans="1:9" ht="15.75" thickBot="1" x14ac:dyDescent="0.3">
      <c r="A8" s="7" t="s">
        <v>5</v>
      </c>
      <c r="B8" s="7"/>
      <c r="D8" s="35">
        <v>4500</v>
      </c>
      <c r="E8" s="28">
        <v>-7500</v>
      </c>
      <c r="F8" s="28">
        <v>37500</v>
      </c>
      <c r="G8" s="28">
        <v>82500</v>
      </c>
      <c r="H8" s="28">
        <v>127500</v>
      </c>
      <c r="I8" s="31">
        <v>172500</v>
      </c>
    </row>
    <row r="9" spans="1:9" x14ac:dyDescent="0.25">
      <c r="A9" t="s">
        <v>6</v>
      </c>
      <c r="D9" s="35">
        <v>5000</v>
      </c>
      <c r="E9" s="28">
        <v>35000</v>
      </c>
      <c r="F9" s="28">
        <v>85000</v>
      </c>
      <c r="G9" s="28">
        <v>135000</v>
      </c>
      <c r="H9" s="28">
        <v>185000</v>
      </c>
      <c r="I9" s="31">
        <v>235000</v>
      </c>
    </row>
    <row r="10" spans="1:9" x14ac:dyDescent="0.25">
      <c r="A10" s="6" t="s">
        <v>16</v>
      </c>
      <c r="B10" s="26">
        <f>B4</f>
        <v>5500</v>
      </c>
      <c r="D10" s="35">
        <v>5500</v>
      </c>
      <c r="E10" s="28">
        <v>77500</v>
      </c>
      <c r="F10" s="28">
        <v>132500</v>
      </c>
      <c r="G10" s="28">
        <v>187500</v>
      </c>
      <c r="H10" s="28">
        <v>242500</v>
      </c>
      <c r="I10" s="31">
        <v>297500</v>
      </c>
    </row>
    <row r="11" spans="1:9" x14ac:dyDescent="0.25">
      <c r="A11" s="6" t="s">
        <v>47</v>
      </c>
      <c r="B11" s="12">
        <v>185</v>
      </c>
      <c r="D11" s="35">
        <v>6000</v>
      </c>
      <c r="E11" s="28">
        <v>120000</v>
      </c>
      <c r="F11" s="28">
        <v>180000</v>
      </c>
      <c r="G11" s="28">
        <v>240000</v>
      </c>
      <c r="H11" s="28">
        <v>300000</v>
      </c>
      <c r="I11" s="31">
        <v>360000</v>
      </c>
    </row>
    <row r="12" spans="1:9" x14ac:dyDescent="0.25">
      <c r="A12" s="6" t="s">
        <v>7</v>
      </c>
      <c r="B12" s="12">
        <f>B10*B11</f>
        <v>1017500</v>
      </c>
      <c r="D12" s="35">
        <v>6500</v>
      </c>
      <c r="E12" s="28">
        <v>162500</v>
      </c>
      <c r="F12" s="28">
        <v>227500</v>
      </c>
      <c r="G12" s="28">
        <v>292500</v>
      </c>
      <c r="H12" s="28">
        <v>357500</v>
      </c>
      <c r="I12" s="31">
        <v>422500</v>
      </c>
    </row>
    <row r="13" spans="1:9" x14ac:dyDescent="0.25">
      <c r="A13" t="s">
        <v>8</v>
      </c>
      <c r="D13" s="35">
        <v>7000</v>
      </c>
      <c r="E13" s="28">
        <v>205000</v>
      </c>
      <c r="F13" s="28">
        <v>275000</v>
      </c>
      <c r="G13" s="28">
        <v>345000</v>
      </c>
      <c r="H13" s="28">
        <v>415000</v>
      </c>
      <c r="I13" s="31">
        <v>485000</v>
      </c>
    </row>
    <row r="14" spans="1:9" x14ac:dyDescent="0.25">
      <c r="A14" s="8" t="s">
        <v>9</v>
      </c>
      <c r="B14" s="11">
        <v>390000</v>
      </c>
      <c r="D14" s="33">
        <v>7500</v>
      </c>
      <c r="E14" s="29">
        <v>247500</v>
      </c>
      <c r="F14" s="29">
        <v>322500</v>
      </c>
      <c r="G14" s="29">
        <v>397500</v>
      </c>
      <c r="H14" s="29">
        <v>472500</v>
      </c>
      <c r="I14" s="32">
        <v>547500</v>
      </c>
    </row>
    <row r="15" spans="1:9" x14ac:dyDescent="0.25">
      <c r="A15" t="s">
        <v>10</v>
      </c>
      <c r="B15" s="12">
        <f>B12+B14</f>
        <v>1407500</v>
      </c>
    </row>
    <row r="16" spans="1:9" x14ac:dyDescent="0.25">
      <c r="A16" s="6" t="s">
        <v>17</v>
      </c>
      <c r="B16" s="12">
        <f>B15/B10</f>
        <v>255.90909090909091</v>
      </c>
    </row>
    <row r="18" spans="1:2" ht="15.75" thickBot="1" x14ac:dyDescent="0.3">
      <c r="A18" s="7" t="s">
        <v>11</v>
      </c>
      <c r="B18" s="7"/>
    </row>
    <row r="19" spans="1:2" x14ac:dyDescent="0.25">
      <c r="A19" s="6" t="s">
        <v>4</v>
      </c>
      <c r="B19" s="12">
        <f>B6</f>
        <v>1595000</v>
      </c>
    </row>
    <row r="20" spans="1:2" x14ac:dyDescent="0.25">
      <c r="A20" s="6" t="s">
        <v>12</v>
      </c>
      <c r="B20" s="12">
        <f>B15</f>
        <v>1407500</v>
      </c>
    </row>
    <row r="21" spans="1:2" ht="15.75" thickBot="1" x14ac:dyDescent="0.3">
      <c r="A21" s="10" t="s">
        <v>13</v>
      </c>
      <c r="B21" s="13">
        <f>B19-B20</f>
        <v>187500</v>
      </c>
    </row>
    <row r="22" spans="1:2" ht="15.75" thickTop="1" x14ac:dyDescent="0.25"/>
    <row r="23" spans="1:2" ht="15.75" thickBot="1" x14ac:dyDescent="0.3">
      <c r="A23" s="7" t="s">
        <v>14</v>
      </c>
      <c r="B23" s="7"/>
    </row>
    <row r="24" spans="1:2" x14ac:dyDescent="0.25">
      <c r="A24" s="6" t="s">
        <v>46</v>
      </c>
      <c r="B24" s="12">
        <f>B5</f>
        <v>290</v>
      </c>
    </row>
    <row r="25" spans="1:2" x14ac:dyDescent="0.25">
      <c r="A25" s="6" t="s">
        <v>48</v>
      </c>
      <c r="B25" s="12">
        <f>(B14+(B26*B11))/B26</f>
        <v>255.90909090909091</v>
      </c>
    </row>
    <row r="26" spans="1:2" x14ac:dyDescent="0.25">
      <c r="A26" s="6" t="s">
        <v>16</v>
      </c>
      <c r="B26" s="26">
        <v>5500</v>
      </c>
    </row>
    <row r="27" spans="1:2" x14ac:dyDescent="0.25">
      <c r="A27" s="6" t="s">
        <v>13</v>
      </c>
      <c r="B27" s="12">
        <f>(B24*B26)-(B25*B26)</f>
        <v>187500</v>
      </c>
    </row>
  </sheetData>
  <mergeCells count="3">
    <mergeCell ref="A1:I1"/>
    <mergeCell ref="D3:I3"/>
    <mergeCell ref="D4:I4"/>
  </mergeCells>
  <dataValidations count="1">
    <dataValidation allowBlank="1" error="pavI8MeUFtEyxX2I4tkyf367137c-7ff0-4578-8762-2ed120830667" sqref="A1:I27" xr:uid="{00000000-0002-0000-0300-000000000000}"/>
  </dataValidations>
  <pageMargins left="0.7" right="0.7" top="0.75" bottom="0.75" header="0.3" footer="0.3"/>
  <pageSetup paperSize="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210AD-E740-4056-9BB9-3676BBF67709}">
  <dimension ref="A1:E21"/>
  <sheetViews>
    <sheetView topLeftCell="A10" workbookViewId="0">
      <selection activeCell="G1" sqref="G1"/>
    </sheetView>
  </sheetViews>
  <sheetFormatPr defaultRowHeight="15" x14ac:dyDescent="0.25"/>
  <cols>
    <col min="1" max="1" width="25.28515625" bestFit="1" customWidth="1"/>
    <col min="2" max="5" width="15.7109375" customWidth="1"/>
  </cols>
  <sheetData>
    <row r="1" spans="1:5" ht="24" thickBot="1" x14ac:dyDescent="0.4">
      <c r="A1" s="101" t="s">
        <v>29</v>
      </c>
      <c r="B1" s="101"/>
      <c r="C1" s="101"/>
      <c r="D1" s="101"/>
      <c r="E1" s="101"/>
    </row>
    <row r="2" spans="1:5" ht="15.75" thickTop="1" x14ac:dyDescent="0.25"/>
    <row r="3" spans="1:5" x14ac:dyDescent="0.25">
      <c r="B3" s="56" t="s">
        <v>38</v>
      </c>
      <c r="C3" s="56" t="s">
        <v>39</v>
      </c>
      <c r="D3" s="56" t="s">
        <v>40</v>
      </c>
      <c r="E3" s="56" t="s">
        <v>25</v>
      </c>
    </row>
    <row r="4" spans="1:5" ht="15.75" thickBot="1" x14ac:dyDescent="0.3">
      <c r="A4" s="48" t="s">
        <v>37</v>
      </c>
      <c r="B4" s="52">
        <v>500</v>
      </c>
      <c r="C4" s="52">
        <v>0</v>
      </c>
      <c r="D4" s="52">
        <v>5000</v>
      </c>
      <c r="E4" s="52">
        <f>SUM(B4:D4)</f>
        <v>5500</v>
      </c>
    </row>
    <row r="5" spans="1:5" ht="15.75" thickTop="1" x14ac:dyDescent="0.25"/>
    <row r="6" spans="1:5" x14ac:dyDescent="0.25">
      <c r="A6" t="s">
        <v>20</v>
      </c>
      <c r="B6" s="51">
        <v>178000</v>
      </c>
      <c r="C6" s="51">
        <v>280000</v>
      </c>
      <c r="D6" s="51">
        <v>26700</v>
      </c>
      <c r="E6" s="51"/>
    </row>
    <row r="7" spans="1:5" x14ac:dyDescent="0.25">
      <c r="A7" s="6" t="s">
        <v>50</v>
      </c>
      <c r="B7" s="53">
        <f>IF(B4=0,0,B6/B4)</f>
        <v>356</v>
      </c>
      <c r="C7" s="53">
        <f>IF(C4=0,0,C6/C4)</f>
        <v>0</v>
      </c>
      <c r="D7" s="53">
        <f>IF(D4=0,0,D6/D4)</f>
        <v>5.34</v>
      </c>
      <c r="E7" s="53"/>
    </row>
    <row r="8" spans="1:5" x14ac:dyDescent="0.25">
      <c r="A8" t="s">
        <v>26</v>
      </c>
      <c r="B8" s="53">
        <f>B9*B4</f>
        <v>104500</v>
      </c>
      <c r="C8" s="53">
        <f t="shared" ref="C8:D8" si="0">C9*C4</f>
        <v>0</v>
      </c>
      <c r="D8" s="53">
        <f t="shared" si="0"/>
        <v>1025000</v>
      </c>
      <c r="E8" s="53"/>
    </row>
    <row r="9" spans="1:5" ht="15.75" thickBot="1" x14ac:dyDescent="0.3">
      <c r="A9" s="9" t="s">
        <v>47</v>
      </c>
      <c r="B9" s="54">
        <v>209</v>
      </c>
      <c r="C9" s="54">
        <v>220</v>
      </c>
      <c r="D9" s="54">
        <v>205</v>
      </c>
      <c r="E9" s="54"/>
    </row>
    <row r="10" spans="1:5" ht="16.5" thickTop="1" thickBot="1" x14ac:dyDescent="0.3">
      <c r="A10" s="49" t="s">
        <v>27</v>
      </c>
      <c r="B10" s="50">
        <f>IF(B4=0,0,B6+B8)</f>
        <v>282500</v>
      </c>
      <c r="C10" s="50">
        <f t="shared" ref="C10:D10" si="1">IF(C4=0,0,C6+C8)</f>
        <v>0</v>
      </c>
      <c r="D10" s="50">
        <f t="shared" si="1"/>
        <v>1051700</v>
      </c>
      <c r="E10" s="50">
        <f>SUM(B10:D10)</f>
        <v>1334200</v>
      </c>
    </row>
    <row r="11" spans="1:5" ht="15.75" thickTop="1" x14ac:dyDescent="0.25"/>
    <row r="13" spans="1:5" x14ac:dyDescent="0.25">
      <c r="A13" s="55" t="s">
        <v>28</v>
      </c>
    </row>
    <row r="14" spans="1:5" x14ac:dyDescent="0.25">
      <c r="A14" s="14">
        <f>MIN($E$10)</f>
        <v>1334200</v>
      </c>
    </row>
    <row r="15" spans="1:5" x14ac:dyDescent="0.25">
      <c r="A15">
        <f>COUNT($B$4:$D$4)</f>
        <v>3</v>
      </c>
    </row>
    <row r="16" spans="1:5" x14ac:dyDescent="0.25">
      <c r="A16" t="b">
        <f t="array" ref="A16">$B$4:$D$4&lt;=5000</f>
        <v>1</v>
      </c>
    </row>
    <row r="17" spans="1:1" x14ac:dyDescent="0.25">
      <c r="A17" t="b">
        <f t="array" ref="A17">$B$4:$D$4=INT($B$4:$D$4)</f>
        <v>1</v>
      </c>
    </row>
    <row r="18" spans="1:1" x14ac:dyDescent="0.25">
      <c r="A18" t="b">
        <f>$E$10&lt;=1350000</f>
        <v>1</v>
      </c>
    </row>
    <row r="19" spans="1:1" x14ac:dyDescent="0.25">
      <c r="A19" t="b">
        <f>$E$4=5500</f>
        <v>1</v>
      </c>
    </row>
    <row r="20" spans="1:1" x14ac:dyDescent="0.25">
      <c r="A20">
        <f>{32767,32767,0.000001,0.01,FALSE,FALSE,TRUE,1,1,1,0.0001,TRUE}</f>
        <v>32767</v>
      </c>
    </row>
    <row r="21" spans="1:1" x14ac:dyDescent="0.25">
      <c r="A21">
        <f>{0,0,1,100,0,FALSE,TRUE,0.075,0,0,FALSE,30}</f>
        <v>0</v>
      </c>
    </row>
  </sheetData>
  <mergeCells count="1">
    <mergeCell ref="A1:E1"/>
  </mergeCells>
  <dataValidations count="1">
    <dataValidation allowBlank="1" error="pavI8MeUFtEyxX2I4tkyf367137c-7ff0-4578-8762-2ed120830667" sqref="A1:E14" xr:uid="{00000000-0002-0000-0400-000000000000}"/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0C1F5-4DEC-4D49-869B-E7E4E83D3F54}">
  <sheetPr>
    <outlinePr summaryBelow="0"/>
  </sheetPr>
  <dimension ref="B1:G21"/>
  <sheetViews>
    <sheetView showGridLines="0" topLeftCell="A2" workbookViewId="0"/>
  </sheetViews>
  <sheetFormatPr defaultRowHeight="15" outlineLevelRow="1" outlineLevelCol="1" x14ac:dyDescent="0.25"/>
  <cols>
    <col min="3" max="3" width="32.7109375" bestFit="1" customWidth="1"/>
    <col min="4" max="7" width="14.28515625" bestFit="1" customWidth="1" outlineLevel="1"/>
  </cols>
  <sheetData>
    <row r="1" spans="2:7" ht="15.75" thickBot="1" x14ac:dyDescent="0.3"/>
    <row r="2" spans="2:7" ht="15.75" x14ac:dyDescent="0.25">
      <c r="B2" s="75" t="s">
        <v>67</v>
      </c>
      <c r="C2" s="75"/>
      <c r="D2" s="80"/>
      <c r="E2" s="80"/>
      <c r="F2" s="80"/>
      <c r="G2" s="80"/>
    </row>
    <row r="3" spans="2:7" ht="15.75" collapsed="1" x14ac:dyDescent="0.25">
      <c r="B3" s="74"/>
      <c r="C3" s="74"/>
      <c r="D3" s="81" t="s">
        <v>69</v>
      </c>
      <c r="E3" s="81" t="s">
        <v>64</v>
      </c>
      <c r="F3" s="81" t="s">
        <v>65</v>
      </c>
      <c r="G3" s="81" t="s">
        <v>66</v>
      </c>
    </row>
    <row r="4" spans="2:7" hidden="1" outlineLevel="1" x14ac:dyDescent="0.25">
      <c r="B4" s="77"/>
      <c r="C4" s="77"/>
      <c r="D4" s="70"/>
      <c r="E4" s="83"/>
      <c r="F4" s="83"/>
      <c r="G4" s="83"/>
    </row>
    <row r="5" spans="2:7" x14ac:dyDescent="0.25">
      <c r="B5" s="78" t="s">
        <v>68</v>
      </c>
      <c r="C5" s="78"/>
      <c r="D5" s="76"/>
      <c r="E5" s="76"/>
      <c r="F5" s="76"/>
      <c r="G5" s="76"/>
    </row>
    <row r="6" spans="2:7" outlineLevel="1" x14ac:dyDescent="0.25">
      <c r="B6" s="77"/>
      <c r="C6" s="77" t="s">
        <v>52</v>
      </c>
      <c r="D6" s="71">
        <v>310</v>
      </c>
      <c r="E6" s="82">
        <v>310</v>
      </c>
      <c r="F6" s="82">
        <v>325.5</v>
      </c>
      <c r="G6" s="82">
        <v>310</v>
      </c>
    </row>
    <row r="7" spans="2:7" outlineLevel="1" x14ac:dyDescent="0.25">
      <c r="B7" s="77"/>
      <c r="C7" s="77" t="s">
        <v>53</v>
      </c>
      <c r="D7" s="71">
        <v>380</v>
      </c>
      <c r="E7" s="82">
        <v>380</v>
      </c>
      <c r="F7" s="82">
        <v>399</v>
      </c>
      <c r="G7" s="82">
        <v>380</v>
      </c>
    </row>
    <row r="8" spans="2:7" outlineLevel="1" x14ac:dyDescent="0.25">
      <c r="B8" s="77"/>
      <c r="C8" s="77" t="s">
        <v>54</v>
      </c>
      <c r="D8" s="71">
        <v>290</v>
      </c>
      <c r="E8" s="82">
        <v>290</v>
      </c>
      <c r="F8" s="82">
        <v>304.5</v>
      </c>
      <c r="G8" s="82">
        <v>290</v>
      </c>
    </row>
    <row r="9" spans="2:7" outlineLevel="1" x14ac:dyDescent="0.25">
      <c r="B9" s="77"/>
      <c r="C9" s="77" t="s">
        <v>55</v>
      </c>
      <c r="D9" s="71">
        <v>770000</v>
      </c>
      <c r="E9" s="82">
        <v>770000</v>
      </c>
      <c r="F9" s="82">
        <v>770000</v>
      </c>
      <c r="G9" s="82">
        <v>600000</v>
      </c>
    </row>
    <row r="10" spans="2:7" outlineLevel="1" x14ac:dyDescent="0.25">
      <c r="B10" s="77"/>
      <c r="C10" s="77" t="s">
        <v>56</v>
      </c>
      <c r="D10" s="71">
        <v>380000</v>
      </c>
      <c r="E10" s="82">
        <v>380000</v>
      </c>
      <c r="F10" s="82">
        <v>380000</v>
      </c>
      <c r="G10" s="82">
        <v>260000</v>
      </c>
    </row>
    <row r="11" spans="2:7" outlineLevel="1" x14ac:dyDescent="0.25">
      <c r="B11" s="77"/>
      <c r="C11" s="77" t="s">
        <v>57</v>
      </c>
      <c r="D11" s="71">
        <v>390000</v>
      </c>
      <c r="E11" s="82">
        <v>390000</v>
      </c>
      <c r="F11" s="82">
        <v>390000</v>
      </c>
      <c r="G11" s="82">
        <v>270000</v>
      </c>
    </row>
    <row r="12" spans="2:7" outlineLevel="1" x14ac:dyDescent="0.25">
      <c r="B12" s="77"/>
      <c r="C12" s="77" t="s">
        <v>58</v>
      </c>
      <c r="D12" s="71">
        <v>1425000</v>
      </c>
      <c r="E12" s="82">
        <v>1425000</v>
      </c>
      <c r="F12" s="82">
        <v>1425000</v>
      </c>
      <c r="G12" s="82">
        <v>1385000</v>
      </c>
    </row>
    <row r="13" spans="2:7" outlineLevel="1" x14ac:dyDescent="0.25">
      <c r="B13" s="77"/>
      <c r="C13" s="77" t="s">
        <v>59</v>
      </c>
      <c r="D13" s="71">
        <v>993750</v>
      </c>
      <c r="E13" s="82">
        <v>993750</v>
      </c>
      <c r="F13" s="82">
        <v>993750</v>
      </c>
      <c r="G13" s="82">
        <v>880000</v>
      </c>
    </row>
    <row r="14" spans="2:7" outlineLevel="1" x14ac:dyDescent="0.25">
      <c r="B14" s="77"/>
      <c r="C14" s="77" t="s">
        <v>60</v>
      </c>
      <c r="D14" s="71">
        <v>1017500</v>
      </c>
      <c r="E14" s="82">
        <v>1017500</v>
      </c>
      <c r="F14" s="82">
        <v>1017500</v>
      </c>
      <c r="G14" s="82">
        <v>990000</v>
      </c>
    </row>
    <row r="15" spans="2:7" x14ac:dyDescent="0.25">
      <c r="B15" s="78" t="s">
        <v>70</v>
      </c>
      <c r="C15" s="78"/>
      <c r="D15" s="76"/>
      <c r="E15" s="76"/>
      <c r="F15" s="76"/>
      <c r="G15" s="76"/>
    </row>
    <row r="16" spans="2:7" outlineLevel="1" x14ac:dyDescent="0.25">
      <c r="B16" s="77"/>
      <c r="C16" s="77" t="s">
        <v>61</v>
      </c>
      <c r="D16" s="72">
        <v>17.3333333333333</v>
      </c>
      <c r="E16" s="72">
        <v>17.3333333333333</v>
      </c>
      <c r="F16" s="72">
        <v>32.8333333333333</v>
      </c>
      <c r="G16" s="72">
        <v>45.3333333333333</v>
      </c>
    </row>
    <row r="17" spans="2:7" outlineLevel="1" x14ac:dyDescent="0.25">
      <c r="B17" s="77"/>
      <c r="C17" s="77" t="s">
        <v>62</v>
      </c>
      <c r="D17" s="72">
        <v>13.6666666666667</v>
      </c>
      <c r="E17" s="72">
        <v>13.6666666666667</v>
      </c>
      <c r="F17" s="72">
        <v>32.6666666666667</v>
      </c>
      <c r="G17" s="72">
        <v>76</v>
      </c>
    </row>
    <row r="18" spans="2:7" ht="15.75" outlineLevel="1" thickBot="1" x14ac:dyDescent="0.3">
      <c r="B18" s="79"/>
      <c r="C18" s="79" t="s">
        <v>63</v>
      </c>
      <c r="D18" s="73">
        <v>34.090909090909101</v>
      </c>
      <c r="E18" s="73">
        <v>34.090909090909101</v>
      </c>
      <c r="F18" s="73">
        <v>48.590909090909101</v>
      </c>
      <c r="G18" s="73">
        <v>60.909090909090899</v>
      </c>
    </row>
    <row r="19" spans="2:7" x14ac:dyDescent="0.25">
      <c r="B19" t="s">
        <v>71</v>
      </c>
    </row>
    <row r="20" spans="2:7" x14ac:dyDescent="0.25">
      <c r="B20" t="s">
        <v>72</v>
      </c>
    </row>
    <row r="21" spans="2:7" x14ac:dyDescent="0.25">
      <c r="B21" t="s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D5633-EFE1-40EF-91AD-7BAA7A385B6A}">
  <dimension ref="A1:D6"/>
  <sheetViews>
    <sheetView topLeftCell="A7" workbookViewId="0">
      <selection activeCell="G10" sqref="G10"/>
    </sheetView>
  </sheetViews>
  <sheetFormatPr defaultRowHeight="15" x14ac:dyDescent="0.25"/>
  <cols>
    <col min="1" max="4" width="15.7109375" customWidth="1"/>
  </cols>
  <sheetData>
    <row r="1" spans="1:4" ht="23.25" x14ac:dyDescent="0.35">
      <c r="A1" s="87" t="s">
        <v>51</v>
      </c>
      <c r="B1" s="87"/>
    </row>
    <row r="3" spans="1:4" x14ac:dyDescent="0.25">
      <c r="A3" s="84" t="s">
        <v>74</v>
      </c>
      <c r="B3" t="s">
        <v>34</v>
      </c>
      <c r="C3" t="s">
        <v>75</v>
      </c>
      <c r="D3" t="s">
        <v>36</v>
      </c>
    </row>
    <row r="4" spans="1:4" x14ac:dyDescent="0.25">
      <c r="A4" s="85" t="s">
        <v>65</v>
      </c>
      <c r="B4" s="86">
        <v>32.833333333333336</v>
      </c>
      <c r="C4" s="86">
        <v>32.666666666666664</v>
      </c>
      <c r="D4" s="86">
        <v>48.590909090909093</v>
      </c>
    </row>
    <row r="5" spans="1:4" x14ac:dyDescent="0.25">
      <c r="A5" s="85" t="s">
        <v>64</v>
      </c>
      <c r="B5" s="86">
        <v>17.333333333333332</v>
      </c>
      <c r="C5" s="86">
        <v>13.666666666666666</v>
      </c>
      <c r="D5" s="86">
        <v>34.090909090909093</v>
      </c>
    </row>
    <row r="6" spans="1:4" x14ac:dyDescent="0.25">
      <c r="A6" s="85" t="s">
        <v>66</v>
      </c>
      <c r="B6" s="86">
        <v>45.333333333333336</v>
      </c>
      <c r="C6" s="86">
        <v>76</v>
      </c>
      <c r="D6" s="86">
        <v>60.909090909090907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B7731-1E98-4AF1-A1A0-A878ECE5DAC5}">
  <dimension ref="A1:D18"/>
  <sheetViews>
    <sheetView topLeftCell="A4" workbookViewId="0">
      <selection activeCell="F1" sqref="F1"/>
    </sheetView>
  </sheetViews>
  <sheetFormatPr defaultRowHeight="15" x14ac:dyDescent="0.25"/>
  <cols>
    <col min="1" max="1" width="24.7109375" bestFit="1" customWidth="1"/>
    <col min="2" max="4" width="15.7109375" customWidth="1"/>
  </cols>
  <sheetData>
    <row r="1" spans="1:4" ht="24" thickBot="1" x14ac:dyDescent="0.4">
      <c r="A1" s="101" t="s">
        <v>33</v>
      </c>
      <c r="B1" s="101"/>
      <c r="C1" s="101"/>
      <c r="D1" s="101"/>
    </row>
    <row r="2" spans="1:4" ht="15.75" thickTop="1" x14ac:dyDescent="0.25"/>
    <row r="3" spans="1:4" ht="30" x14ac:dyDescent="0.25">
      <c r="B3" s="56" t="s">
        <v>34</v>
      </c>
      <c r="C3" s="56" t="s">
        <v>35</v>
      </c>
      <c r="D3" s="56" t="s">
        <v>36</v>
      </c>
    </row>
    <row r="4" spans="1:4" ht="15.75" thickBot="1" x14ac:dyDescent="0.3">
      <c r="A4" s="57" t="s">
        <v>30</v>
      </c>
      <c r="B4" s="57"/>
      <c r="C4" s="57"/>
      <c r="D4" s="57"/>
    </row>
    <row r="5" spans="1:4" x14ac:dyDescent="0.25">
      <c r="A5" t="s">
        <v>43</v>
      </c>
      <c r="B5" s="39">
        <f>Hours_Sold_Management</f>
        <v>7500</v>
      </c>
      <c r="C5" s="39">
        <f>Hours_Sold_Change</f>
        <v>3750</v>
      </c>
      <c r="D5" s="39">
        <f>Hours_Sold_Process</f>
        <v>5500</v>
      </c>
    </row>
    <row r="6" spans="1:4" x14ac:dyDescent="0.25">
      <c r="A6" t="s">
        <v>46</v>
      </c>
      <c r="B6" s="51">
        <v>310</v>
      </c>
      <c r="C6" s="51">
        <v>380</v>
      </c>
      <c r="D6" s="51">
        <v>290</v>
      </c>
    </row>
    <row r="7" spans="1:4" x14ac:dyDescent="0.25">
      <c r="A7" t="s">
        <v>4</v>
      </c>
      <c r="B7" s="51">
        <f>B5*B6</f>
        <v>2325000</v>
      </c>
      <c r="C7" s="51">
        <f t="shared" ref="C7:D7" si="0">C5*C6</f>
        <v>1425000</v>
      </c>
      <c r="D7" s="51">
        <f t="shared" si="0"/>
        <v>1595000</v>
      </c>
    </row>
    <row r="9" spans="1:4" ht="15.75" thickBot="1" x14ac:dyDescent="0.3">
      <c r="A9" s="57" t="s">
        <v>31</v>
      </c>
      <c r="B9" s="36"/>
      <c r="C9" s="36"/>
      <c r="D9" s="36"/>
    </row>
    <row r="10" spans="1:4" x14ac:dyDescent="0.25">
      <c r="A10" t="s">
        <v>42</v>
      </c>
      <c r="B10" s="39">
        <f>Hours_Contracted_Management</f>
        <v>7500</v>
      </c>
      <c r="C10" s="39">
        <f>Hours_Contracted_Change</f>
        <v>3750</v>
      </c>
      <c r="D10" s="39">
        <f>Hours_Contracted_Process</f>
        <v>5500</v>
      </c>
    </row>
    <row r="11" spans="1:4" x14ac:dyDescent="0.25">
      <c r="A11" t="s">
        <v>20</v>
      </c>
      <c r="B11" s="51">
        <v>770000</v>
      </c>
      <c r="C11" s="51">
        <v>380000</v>
      </c>
      <c r="D11" s="51">
        <v>390000</v>
      </c>
    </row>
    <row r="12" spans="1:4" x14ac:dyDescent="0.25">
      <c r="A12" t="s">
        <v>47</v>
      </c>
      <c r="B12" s="51">
        <v>190</v>
      </c>
      <c r="C12" s="51">
        <v>265</v>
      </c>
      <c r="D12" s="51">
        <v>185</v>
      </c>
    </row>
    <row r="13" spans="1:4" x14ac:dyDescent="0.25">
      <c r="A13" t="s">
        <v>26</v>
      </c>
      <c r="B13" s="51">
        <v>1425000</v>
      </c>
      <c r="C13" s="51">
        <v>993750</v>
      </c>
      <c r="D13" s="12">
        <v>1017500</v>
      </c>
    </row>
    <row r="14" spans="1:4" x14ac:dyDescent="0.25">
      <c r="A14" t="s">
        <v>27</v>
      </c>
      <c r="B14" s="51">
        <f>Fixed_Costs_Management+Variable_Costs_Management</f>
        <v>2195000</v>
      </c>
      <c r="C14" s="51">
        <f>Fixed_Costs_Change+Variable_Costs_Change</f>
        <v>1373750</v>
      </c>
      <c r="D14" s="51">
        <f>Fixed_Costs_Process+Variable_Costs_Process</f>
        <v>1407500</v>
      </c>
    </row>
    <row r="16" spans="1:4" x14ac:dyDescent="0.25">
      <c r="A16" s="58" t="s">
        <v>32</v>
      </c>
      <c r="B16" s="61">
        <f>B7-B14</f>
        <v>130000</v>
      </c>
      <c r="C16" s="61">
        <f t="shared" ref="C16:D16" si="1">C7-C14</f>
        <v>51250</v>
      </c>
      <c r="D16" s="61">
        <f t="shared" si="1"/>
        <v>187500</v>
      </c>
    </row>
    <row r="17" spans="1:4" ht="15.75" thickBot="1" x14ac:dyDescent="0.3">
      <c r="A17" s="59" t="s">
        <v>51</v>
      </c>
      <c r="B17" s="60">
        <f>B16/B5</f>
        <v>17.333333333333332</v>
      </c>
      <c r="C17" s="60">
        <f>C16/C5</f>
        <v>13.666666666666666</v>
      </c>
      <c r="D17" s="60">
        <f>D16/D5</f>
        <v>34.090909090909093</v>
      </c>
    </row>
    <row r="18" spans="1:4" ht="15.75" thickTop="1" x14ac:dyDescent="0.25"/>
  </sheetData>
  <scenarios current="0" show="0" sqref="B17:D17">
    <scenario name="Status Quo" locked="1" count="9" user="sasha">
      <inputCells r="B6" val="310" numFmtId="165"/>
      <inputCells r="C6" val="380" numFmtId="165"/>
      <inputCells r="D6" val="290" numFmtId="165"/>
      <inputCells r="B11" val="770000" numFmtId="165"/>
      <inputCells r="C11" val="380000" numFmtId="165"/>
      <inputCells r="D11" val="390000" numFmtId="165"/>
      <inputCells r="B13" val="1425000"/>
      <inputCells r="C13" val="993750"/>
      <inputCells r="D13" val="1017500"/>
    </scenario>
    <scenario name="Raise Rates" locked="1" count="9" user="sasha">
      <inputCells r="B6" val="325.5" numFmtId="165"/>
      <inputCells r="C6" val="399" numFmtId="165"/>
      <inputCells r="D6" val="304.5" numFmtId="165"/>
      <inputCells r="B11" val="770000" numFmtId="165"/>
      <inputCells r="C11" val="380000" numFmtId="165"/>
      <inputCells r="D11" val="390000" numFmtId="165"/>
      <inputCells r="B13" val="1425000"/>
      <inputCells r="C13" val="993750"/>
      <inputCells r="D13" val="1017500"/>
    </scenario>
    <scenario name="Third Party" locked="1" count="9" user="sasha">
      <inputCells r="B6" val="310" numFmtId="165"/>
      <inputCells r="C6" val="380" numFmtId="165"/>
      <inputCells r="D6" val="290" numFmtId="165"/>
      <inputCells r="B11" val="600000" numFmtId="165"/>
      <inputCells r="C11" val="260000" numFmtId="165"/>
      <inputCells r="D11" val="270000" numFmtId="165"/>
      <inputCells r="B13" val="1385000"/>
      <inputCells r="C13" val="880000"/>
      <inputCells r="D13" val="990000"/>
    </scenario>
  </scenarios>
  <mergeCells count="1">
    <mergeCell ref="A1:D1"/>
  </mergeCells>
  <dataValidations count="1">
    <dataValidation allowBlank="1" error="pavI8MeUFtEyxX2I4tkyf367137c-7ff0-4578-8762-2ed120830667" sqref="A1:D18" xr:uid="{00000000-0002-0000-0500-000000000000}"/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GradingEngineProps xmlns="http://tempuri.org/temp">
  <UserID>{f367137c-7ff0-4578-8762-2ed120830667}</UserID>
  <AssignmentID>{f367137c-7ff0-4578-8762-2ed120830667}</AssignmentID>
</GradingEngineProps>
</file>

<file path=customXml/itemProps1.xml><?xml version="1.0" encoding="utf-8"?>
<ds:datastoreItem xmlns:ds="http://schemas.openxmlformats.org/officeDocument/2006/customXml" ds:itemID="{A5870011-172D-4BB3-9AD0-5F72501FB3B2}">
  <ds:schemaRefs>
    <ds:schemaRef ds:uri="http://tempuri.org/tem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33</vt:i4>
      </vt:variant>
    </vt:vector>
  </HeadingPairs>
  <TitlesOfParts>
    <vt:vector size="41" baseType="lpstr">
      <vt:lpstr>Documentation</vt:lpstr>
      <vt:lpstr>Management</vt:lpstr>
      <vt:lpstr>Change</vt:lpstr>
      <vt:lpstr>Process</vt:lpstr>
      <vt:lpstr>Process Providers</vt:lpstr>
      <vt:lpstr>Scenario Summary</vt:lpstr>
      <vt:lpstr>Scenario PivotTable</vt:lpstr>
      <vt:lpstr>All Types</vt:lpstr>
      <vt:lpstr>Fixed_Costs_Change</vt:lpstr>
      <vt:lpstr>Fixed_Costs_Management</vt:lpstr>
      <vt:lpstr>Fixed_Costs_Process</vt:lpstr>
      <vt:lpstr>Hours_Contracted_Change</vt:lpstr>
      <vt:lpstr>Hours_Contracted_Management</vt:lpstr>
      <vt:lpstr>Hours_Contracted_Process</vt:lpstr>
      <vt:lpstr>Hours_Sold_Change</vt:lpstr>
      <vt:lpstr>Hours_Sold_Management</vt:lpstr>
      <vt:lpstr>Hours_Sold_Process</vt:lpstr>
      <vt:lpstr>Price_Per_Hour_Change</vt:lpstr>
      <vt:lpstr>Price_Per_Hour_Management</vt:lpstr>
      <vt:lpstr>Price_Per_Hour_Process</vt:lpstr>
      <vt:lpstr>Profit_Per_Hour_Contracted_Change</vt:lpstr>
      <vt:lpstr>Profit_Per_Hour_Contracted_Management</vt:lpstr>
      <vt:lpstr>Profit_Per_Hour_Contracted_Process</vt:lpstr>
      <vt:lpstr>Total_Fixed_Cost_Change</vt:lpstr>
      <vt:lpstr>Total_Fixed_Cost_Management</vt:lpstr>
      <vt:lpstr>Total_Fixed_Cost_Process</vt:lpstr>
      <vt:lpstr>Total_Profit_Change</vt:lpstr>
      <vt:lpstr>Total_Profit_Management</vt:lpstr>
      <vt:lpstr>Total_Profit_Process</vt:lpstr>
      <vt:lpstr>Total_Variable_Costs_Change</vt:lpstr>
      <vt:lpstr>Total_Variable_Costs_Management</vt:lpstr>
      <vt:lpstr>Total_Variable_Costs_Process</vt:lpstr>
      <vt:lpstr>Var_Cost_Per_Hour_Change</vt:lpstr>
      <vt:lpstr>Var_Cost_Per_Hour_Management</vt:lpstr>
      <vt:lpstr>Var_Cost_Per_Hour_Process</vt:lpstr>
      <vt:lpstr>Variable_Cost_Per_Hour_Change</vt:lpstr>
      <vt:lpstr>Variable_Cost_Per_Hour_Management</vt:lpstr>
      <vt:lpstr>Variable_Cost_Per_Hour_Process</vt:lpstr>
      <vt:lpstr>Variable_Costs_Change</vt:lpstr>
      <vt:lpstr>Variable_Costs_Management</vt:lpstr>
      <vt:lpstr>Variable_Costs_Process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Your Name</dc:creator>
  <cp:keywords>© 2020 Cengage Learning.</cp:keywords>
  <cp:lastModifiedBy>Thilak Addagatla</cp:lastModifiedBy>
  <dcterms:created xsi:type="dcterms:W3CDTF">2019-03-29T17:45:45Z</dcterms:created>
  <dcterms:modified xsi:type="dcterms:W3CDTF">2022-10-22T15:24:36Z</dcterms:modified>
</cp:coreProperties>
</file>